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codeName="ThisWorkbook" defaultThemeVersion="124226"/>
  <mc:AlternateContent xmlns:mc="http://schemas.openxmlformats.org/markup-compatibility/2006">
    <mc:Choice Requires="x15">
      <x15ac:absPath xmlns:x15ac="http://schemas.microsoft.com/office/spreadsheetml/2010/11/ac" url="C:\Users\a254998\Downloads\"/>
    </mc:Choice>
  </mc:AlternateContent>
  <xr:revisionPtr revIDLastSave="0" documentId="8_{D3681E9C-1B4B-4602-B9E1-05AF7D94BF0A}" xr6:coauthVersionLast="47" xr6:coauthVersionMax="47" xr10:uidLastSave="{00000000-0000-0000-0000-000000000000}"/>
  <bookViews>
    <workbookView xWindow="-110" yWindow="-110" windowWidth="22620" windowHeight="13500" tabRatio="567" xr2:uid="{00000000-000D-0000-FFFF-FFFF00000000}"/>
  </bookViews>
  <sheets>
    <sheet name="目次" sheetId="40" r:id="rId1"/>
    <sheet name="1 (項目追加前ver)" sheetId="41" state="hidden" r:id="rId2"/>
    <sheet name="1" sheetId="18" r:id="rId3"/>
    <sheet name="2" sheetId="19" r:id="rId4"/>
    <sheet name="3" sheetId="20" r:id="rId5"/>
    <sheet name="4  (項目追加前ver)" sheetId="42" state="hidden" r:id="rId6"/>
    <sheet name="4" sheetId="21" r:id="rId7"/>
    <sheet name="5" sheetId="22" r:id="rId8"/>
    <sheet name="6" sheetId="23" r:id="rId9"/>
    <sheet name="7" sheetId="39" r:id="rId10"/>
    <sheet name="8" sheetId="27" r:id="rId11"/>
    <sheet name="9" sheetId="28" r:id="rId12"/>
  </sheets>
  <definedNames>
    <definedName name="_xlnm.Print_Area" localSheetId="2">'1'!$A$1:$M$47</definedName>
    <definedName name="_xlnm.Print_Area" localSheetId="3">'2'!$A$1:$M$23</definedName>
    <definedName name="_xlnm.Print_Area" localSheetId="4">'3'!$A$1:$M$20</definedName>
    <definedName name="_xlnm.Print_Area" localSheetId="6">'4'!$A$1:$M$39</definedName>
    <definedName name="_xlnm.Print_Area" localSheetId="7">'5'!$A$1:$M$45</definedName>
    <definedName name="_xlnm.Print_Area" localSheetId="8">'6'!$A$1:$M$47</definedName>
    <definedName name="_xlnm.Print_Area" localSheetId="9">'7'!$A$1:$M$80</definedName>
    <definedName name="_xlnm.Print_Area" localSheetId="10">'8'!$A$1:$M$53</definedName>
    <definedName name="_xlnm.Print_Area" localSheetId="11">'9'!$A$1:$E$22</definedName>
    <definedName name="_xlnm.Print_Area" localSheetId="0">目次!$A$1:$N$37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27" l="1"/>
  <c r="M6" i="27"/>
  <c r="M5" i="27"/>
  <c r="M15" i="39"/>
  <c r="M13" i="39"/>
  <c r="M12" i="39"/>
  <c r="M9" i="39"/>
  <c r="M5" i="39"/>
  <c r="G64" i="39"/>
  <c r="G72" i="39" s="1"/>
  <c r="F64" i="39"/>
  <c r="F72" i="39" s="1"/>
  <c r="E64" i="39"/>
  <c r="E72" i="39" s="1"/>
  <c r="D64" i="39"/>
  <c r="D72" i="39" s="1"/>
  <c r="B64" i="39"/>
  <c r="C56" i="39"/>
  <c r="B56" i="39"/>
  <c r="I29" i="39"/>
  <c r="H29" i="39"/>
  <c r="C5" i="39"/>
  <c r="B5" i="39"/>
  <c r="M36" i="21" l="1"/>
  <c r="M32" i="21"/>
  <c r="M30" i="21"/>
  <c r="M28" i="21"/>
  <c r="M19" i="21"/>
  <c r="M7" i="21"/>
  <c r="M18" i="21"/>
  <c r="M5" i="21"/>
  <c r="M4" i="21"/>
  <c r="M27" i="21"/>
  <c r="L27" i="21"/>
  <c r="K27" i="21"/>
  <c r="J27" i="21"/>
  <c r="I27" i="21"/>
  <c r="H27" i="21"/>
  <c r="M13" i="20"/>
  <c r="M7" i="20"/>
  <c r="F9" i="19" l="1"/>
  <c r="E9" i="19"/>
  <c r="D9" i="19"/>
  <c r="C9" i="19"/>
  <c r="B9" i="19"/>
  <c r="M18" i="18"/>
  <c r="L18" i="18"/>
  <c r="M19" i="19"/>
  <c r="M17" i="19"/>
  <c r="M15" i="19"/>
  <c r="M13" i="19"/>
  <c r="M11" i="19"/>
  <c r="M9" i="19"/>
  <c r="M7" i="19"/>
  <c r="M5" i="19"/>
  <c r="M4" i="19"/>
  <c r="M20" i="19" s="1"/>
  <c r="K30" i="18"/>
  <c r="J30" i="18"/>
  <c r="I30" i="18"/>
  <c r="H30" i="18"/>
  <c r="K29" i="18"/>
  <c r="J29" i="18"/>
  <c r="I29" i="18"/>
  <c r="H29" i="18"/>
  <c r="G28" i="18"/>
  <c r="F28" i="18"/>
  <c r="E28" i="18"/>
  <c r="D28" i="18"/>
  <c r="C28" i="18"/>
  <c r="B28" i="18"/>
  <c r="G27" i="18"/>
  <c r="F27" i="18"/>
  <c r="E27" i="18"/>
  <c r="D27" i="18"/>
  <c r="C27" i="18"/>
  <c r="B27" i="18"/>
  <c r="L18" i="21"/>
  <c r="L14" i="19"/>
  <c r="L12" i="19"/>
  <c r="M12" i="19" l="1"/>
  <c r="M8" i="19"/>
  <c r="M10" i="19"/>
  <c r="M14" i="19"/>
  <c r="L20" i="19"/>
  <c r="L10" i="19"/>
  <c r="L8" i="19"/>
  <c r="H28" i="18"/>
  <c r="I28" i="18"/>
  <c r="J28" i="18"/>
  <c r="K28" i="18"/>
  <c r="H27" i="18"/>
  <c r="I27" i="18"/>
  <c r="J27" i="18"/>
  <c r="K27" i="18"/>
  <c r="K18" i="21" l="1"/>
  <c r="K20" i="19"/>
  <c r="K10" i="19"/>
  <c r="K8" i="19"/>
  <c r="J18" i="21"/>
  <c r="J10" i="19"/>
  <c r="J20" i="19"/>
  <c r="J8" i="19"/>
  <c r="I18" i="21"/>
  <c r="B13" i="22"/>
  <c r="C13" i="22"/>
  <c r="H18" i="21"/>
  <c r="G22" i="21"/>
  <c r="G21" i="21"/>
  <c r="G27" i="21" s="1"/>
  <c r="F22" i="21"/>
  <c r="F21" i="21"/>
  <c r="E22" i="21"/>
  <c r="E21" i="21"/>
  <c r="D22" i="21"/>
  <c r="C21" i="21"/>
  <c r="C27" i="21" s="1"/>
  <c r="B22" i="21"/>
  <c r="B27" i="21" s="1"/>
  <c r="G37" i="23"/>
  <c r="G40" i="23" s="1"/>
  <c r="F37" i="23"/>
  <c r="F40" i="23" s="1"/>
  <c r="E37" i="23"/>
  <c r="E40" i="23" s="1"/>
  <c r="D37" i="23"/>
  <c r="D40" i="23" s="1"/>
  <c r="C37" i="23"/>
  <c r="C40" i="23" s="1"/>
  <c r="B37" i="23"/>
  <c r="B40" i="23" s="1"/>
  <c r="C10" i="23"/>
  <c r="G18" i="23"/>
  <c r="F18" i="23"/>
  <c r="E18" i="23"/>
  <c r="D18" i="23"/>
  <c r="G6" i="23"/>
  <c r="F6" i="23"/>
  <c r="E6" i="23"/>
  <c r="D6" i="23"/>
  <c r="C6" i="23"/>
  <c r="B6" i="23"/>
  <c r="G15" i="22"/>
  <c r="F15" i="22"/>
  <c r="E15" i="22"/>
  <c r="D15" i="22"/>
  <c r="C15" i="22"/>
  <c r="B15" i="22"/>
  <c r="F27" i="21" l="1"/>
  <c r="B16" i="27" l="1"/>
  <c r="B17" i="27" s="1"/>
  <c r="B14" i="27"/>
  <c r="B15" i="27" s="1"/>
  <c r="B13" i="27"/>
  <c r="B10" i="27"/>
  <c r="B11" i="27" s="1"/>
  <c r="C7" i="27"/>
  <c r="C6" i="27"/>
  <c r="C5" i="27"/>
  <c r="C29" i="27" s="1"/>
  <c r="C77" i="39"/>
  <c r="B77" i="39"/>
  <c r="B71" i="39"/>
  <c r="B72" i="39" s="1"/>
  <c r="C62" i="39"/>
  <c r="C61" i="39"/>
  <c r="C57" i="39"/>
  <c r="B57" i="39"/>
  <c r="C42" i="23"/>
  <c r="B42" i="23"/>
  <c r="B29" i="23"/>
  <c r="B22" i="23"/>
  <c r="C13" i="23"/>
  <c r="C18" i="23" s="1"/>
  <c r="B13" i="23"/>
  <c r="B18" i="23" s="1"/>
  <c r="B41" i="22"/>
  <c r="C32" i="22"/>
  <c r="C34" i="22" s="1"/>
  <c r="B32" i="22"/>
  <c r="B34" i="22" s="1"/>
  <c r="C20" i="22"/>
  <c r="B20" i="22"/>
  <c r="C30" i="21"/>
  <c r="B30" i="21"/>
  <c r="C28" i="21"/>
  <c r="E26" i="21"/>
  <c r="E27" i="21" s="1"/>
  <c r="D26" i="21"/>
  <c r="D27" i="21" s="1"/>
  <c r="B28" i="21"/>
  <c r="C14" i="21"/>
  <c r="C7" i="21"/>
  <c r="B7" i="21"/>
  <c r="C5" i="21"/>
  <c r="B5" i="21"/>
  <c r="C4" i="21"/>
  <c r="B4" i="21"/>
  <c r="B13" i="20"/>
  <c r="B7" i="20"/>
  <c r="C19" i="19"/>
  <c r="B19" i="19"/>
  <c r="E18" i="19"/>
  <c r="C17" i="19"/>
  <c r="C9" i="39" s="1"/>
  <c r="C38" i="39" s="1"/>
  <c r="B17" i="19"/>
  <c r="B9" i="39" s="1"/>
  <c r="B38" i="39" s="1"/>
  <c r="C15" i="19"/>
  <c r="B15" i="19"/>
  <c r="C13" i="19"/>
  <c r="B13" i="19"/>
  <c r="C11" i="19"/>
  <c r="B11" i="19"/>
  <c r="F10" i="19"/>
  <c r="E10" i="19"/>
  <c r="D10" i="19"/>
  <c r="F7" i="19"/>
  <c r="E7" i="19"/>
  <c r="D7" i="19"/>
  <c r="C7" i="19"/>
  <c r="B7" i="19"/>
  <c r="C5" i="19"/>
  <c r="B5" i="19"/>
  <c r="C4" i="19"/>
  <c r="B4" i="19"/>
  <c r="B33" i="18"/>
  <c r="C7" i="18"/>
  <c r="B7" i="18"/>
  <c r="C64" i="39" l="1"/>
  <c r="C72" i="39" s="1"/>
  <c r="B8" i="19"/>
  <c r="C42" i="22"/>
  <c r="C10" i="19"/>
  <c r="B32" i="21"/>
  <c r="B34" i="21" s="1"/>
  <c r="B36" i="21" s="1"/>
  <c r="B6" i="21"/>
  <c r="C32" i="21"/>
  <c r="C34" i="21" s="1"/>
  <c r="C36" i="21" s="1"/>
  <c r="B10" i="19"/>
  <c r="B18" i="19"/>
  <c r="B16" i="19" s="1"/>
  <c r="B6" i="19"/>
  <c r="B12" i="19"/>
  <c r="C14" i="19"/>
  <c r="B20" i="19"/>
  <c r="C12" i="19"/>
  <c r="C20" i="19"/>
  <c r="C6" i="19"/>
  <c r="C8" i="19"/>
  <c r="B14" i="19"/>
  <c r="C6" i="21"/>
  <c r="B42" i="22"/>
  <c r="C23" i="27"/>
  <c r="C13" i="27"/>
  <c r="C25" i="27"/>
  <c r="C11" i="27"/>
  <c r="C15" i="27"/>
  <c r="C17" i="27"/>
  <c r="C27" i="27"/>
  <c r="C21" i="27"/>
  <c r="C18" i="19"/>
  <c r="C16" i="19" s="1"/>
  <c r="J32" i="42" l="1"/>
  <c r="J34" i="42"/>
  <c r="F31" i="42"/>
  <c r="E31" i="42"/>
  <c r="L28" i="42"/>
  <c r="K28" i="42"/>
  <c r="L25" i="42"/>
  <c r="J25" i="42"/>
  <c r="J26" i="42" s="1"/>
  <c r="I25" i="42"/>
  <c r="H25" i="42"/>
  <c r="G25" i="42"/>
  <c r="F25" i="42"/>
  <c r="E25" i="42"/>
  <c r="C22" i="42"/>
  <c r="K20" i="42"/>
  <c r="K25" i="42" s="1"/>
  <c r="C20" i="42"/>
  <c r="H7" i="42"/>
  <c r="I6" i="42"/>
  <c r="I15" i="42"/>
  <c r="I27" i="42" s="1"/>
  <c r="I30" i="42" s="1"/>
  <c r="I32" i="42" s="1"/>
  <c r="I34" i="42" s="1"/>
  <c r="H6" i="42"/>
  <c r="H15" i="42"/>
  <c r="G6" i="42"/>
  <c r="G15" i="42" s="1"/>
  <c r="F6" i="42"/>
  <c r="F15" i="42" s="1"/>
  <c r="F27" i="42" s="1"/>
  <c r="F30" i="42" s="1"/>
  <c r="E6" i="42"/>
  <c r="E15" i="42" s="1"/>
  <c r="L5" i="42"/>
  <c r="K5" i="42"/>
  <c r="L4" i="42"/>
  <c r="K4" i="42"/>
  <c r="L7" i="41"/>
  <c r="L7" i="42" s="1"/>
  <c r="E20" i="41"/>
  <c r="E19" i="41"/>
  <c r="E14" i="41"/>
  <c r="G27" i="42" l="1"/>
  <c r="G30" i="42" s="1"/>
  <c r="G32" i="42" s="1"/>
  <c r="G34" i="42" s="1"/>
  <c r="K7" i="42"/>
  <c r="K6" i="42"/>
  <c r="H27" i="42"/>
  <c r="H30" i="42" s="1"/>
  <c r="H32" i="42" s="1"/>
  <c r="H34" i="42" s="1"/>
  <c r="L6" i="42"/>
  <c r="L15" i="42" s="1"/>
  <c r="L26" i="42" s="1"/>
  <c r="L30" i="42" s="1"/>
  <c r="L32" i="42" s="1"/>
  <c r="L34" i="42" s="1"/>
  <c r="E27" i="42"/>
  <c r="E30" i="42" s="1"/>
  <c r="E32" i="42" s="1"/>
  <c r="E34" i="42" s="1"/>
  <c r="F32" i="42"/>
  <c r="F34" i="42" s="1"/>
  <c r="K15" i="42" l="1"/>
  <c r="K26" i="42" s="1"/>
  <c r="K30" i="42" s="1"/>
  <c r="K32" i="42" s="1"/>
  <c r="K3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tdk</author>
  </authors>
  <commentList>
    <comment ref="K7" authorId="0" shapeId="0" xr:uid="{00000000-0006-0000-0100-000001000000}">
      <text>
        <r>
          <rPr>
            <b/>
            <sz val="9"/>
            <color indexed="81"/>
            <rFont val="ＭＳ Ｐゴシック"/>
            <family val="3"/>
            <charset val="128"/>
          </rPr>
          <t>tdk:</t>
        </r>
        <r>
          <rPr>
            <sz val="9"/>
            <color indexed="81"/>
            <rFont val="ＭＳ Ｐゴシック"/>
            <family val="3"/>
            <charset val="128"/>
          </rPr>
          <t xml:space="preserve">
</t>
        </r>
      </text>
    </comment>
    <comment ref="K29" authorId="0" shapeId="0" xr:uid="{00000000-0006-0000-0100-000002000000}">
      <text>
        <r>
          <rPr>
            <b/>
            <sz val="9"/>
            <color indexed="81"/>
            <rFont val="ＭＳ Ｐゴシック"/>
            <family val="3"/>
            <charset val="128"/>
          </rPr>
          <t>tdk:</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tdk</author>
  </authors>
  <commentList>
    <comment ref="L7" authorId="0" shapeId="0" xr:uid="{00000000-0006-0000-0500-000001000000}">
      <text>
        <r>
          <rPr>
            <b/>
            <sz val="9"/>
            <color indexed="81"/>
            <rFont val="ＭＳ Ｐゴシック"/>
            <family val="3"/>
            <charset val="128"/>
          </rPr>
          <t>tdk:</t>
        </r>
        <r>
          <rPr>
            <sz val="9"/>
            <color indexed="81"/>
            <rFont val="ＭＳ Ｐゴシック"/>
            <family val="3"/>
            <charset val="128"/>
          </rPr>
          <t xml:space="preserve">
</t>
        </r>
      </text>
    </comment>
    <comment ref="L20" authorId="0" shapeId="0" xr:uid="{00000000-0006-0000-0500-000002000000}">
      <text>
        <r>
          <rPr>
            <b/>
            <sz val="9"/>
            <color indexed="81"/>
            <rFont val="ＭＳ Ｐゴシック"/>
            <family val="3"/>
            <charset val="128"/>
          </rPr>
          <t xml:space="preserve">tdk:
合計80の内訳？
</t>
        </r>
      </text>
    </comment>
  </commentList>
</comments>
</file>

<file path=xl/sharedStrings.xml><?xml version="1.0" encoding="utf-8"?>
<sst xmlns="http://schemas.openxmlformats.org/spreadsheetml/2006/main" count="622" uniqueCount="342">
  <si>
    <t>　</t>
    <phoneticPr fontId="4"/>
  </si>
  <si>
    <t xml:space="preserve"> </t>
    <phoneticPr fontId="4"/>
  </si>
  <si>
    <t>連結業績サマリー</t>
    <rPh sb="0" eb="2">
      <t>レンケツ</t>
    </rPh>
    <rPh sb="2" eb="4">
      <t>ギョウセキ</t>
    </rPh>
    <phoneticPr fontId="4"/>
  </si>
  <si>
    <t>（3月31日に終了した1年間および3月31日現在）</t>
    <rPh sb="2" eb="3">
      <t>ガツ</t>
    </rPh>
    <rPh sb="5" eb="6">
      <t>ニチ</t>
    </rPh>
    <rPh sb="7" eb="9">
      <t>シュウリョウ</t>
    </rPh>
    <rPh sb="12" eb="14">
      <t>ネンカン</t>
    </rPh>
    <rPh sb="18" eb="19">
      <t>ガツ</t>
    </rPh>
    <rPh sb="21" eb="22">
      <t>ニチ</t>
    </rPh>
    <rPh sb="22" eb="24">
      <t>ゲンザイ</t>
    </rPh>
    <phoneticPr fontId="4"/>
  </si>
  <si>
    <t>単位：百万円</t>
    <rPh sb="0" eb="2">
      <t>タンイ</t>
    </rPh>
    <rPh sb="3" eb="6">
      <t>ヒャクマンエン</t>
    </rPh>
    <phoneticPr fontId="4"/>
  </si>
  <si>
    <t>売上高</t>
  </si>
  <si>
    <t>海外売上高（内数）</t>
    <rPh sb="0" eb="2">
      <t>カイガイ</t>
    </rPh>
    <rPh sb="6" eb="7">
      <t>ウチ</t>
    </rPh>
    <rPh sb="7" eb="8">
      <t>スウ</t>
    </rPh>
    <phoneticPr fontId="4"/>
  </si>
  <si>
    <t>売上原価</t>
  </si>
  <si>
    <t>販売費及び一般管理費</t>
    <rPh sb="3" eb="4">
      <t>オヨ</t>
    </rPh>
    <phoneticPr fontId="4"/>
  </si>
  <si>
    <r>
      <t>厚生年金基金の代行部分返上</t>
    </r>
    <r>
      <rPr>
        <sz val="10"/>
        <rFont val="Arial"/>
        <family val="2"/>
      </rPr>
      <t>:</t>
    </r>
  </si>
  <si>
    <t>　累積給付債務と責任準備金との差額</t>
    <phoneticPr fontId="4"/>
  </si>
  <si>
    <t>　清算損</t>
    <phoneticPr fontId="4"/>
  </si>
  <si>
    <t>記録メディア販売事業譲渡益</t>
    <rPh sb="0" eb="2">
      <t>キロク</t>
    </rPh>
    <rPh sb="6" eb="8">
      <t>ハンバイ</t>
    </rPh>
    <rPh sb="8" eb="10">
      <t>ジギョウ</t>
    </rPh>
    <rPh sb="10" eb="13">
      <t>ジョウトエキ</t>
    </rPh>
    <phoneticPr fontId="4"/>
  </si>
  <si>
    <t>拠点再編に係る固定資産関連費用等</t>
    <rPh sb="0" eb="2">
      <t>キョテン</t>
    </rPh>
    <rPh sb="2" eb="4">
      <t>サイヘン</t>
    </rPh>
    <rPh sb="5" eb="6">
      <t>カカ</t>
    </rPh>
    <rPh sb="7" eb="9">
      <t>コテイ</t>
    </rPh>
    <rPh sb="9" eb="11">
      <t>シサン</t>
    </rPh>
    <rPh sb="11" eb="13">
      <t>カンレン</t>
    </rPh>
    <rPh sb="13" eb="16">
      <t>ヒヨウトウ</t>
    </rPh>
    <phoneticPr fontId="4"/>
  </si>
  <si>
    <t>拠点再編に係る固定資産売却益等（益）</t>
    <rPh sb="0" eb="2">
      <t>キョテン</t>
    </rPh>
    <rPh sb="2" eb="4">
      <t>サイヘン</t>
    </rPh>
    <rPh sb="5" eb="6">
      <t>カカ</t>
    </rPh>
    <rPh sb="7" eb="9">
      <t>コテイ</t>
    </rPh>
    <rPh sb="9" eb="11">
      <t>シサン</t>
    </rPh>
    <rPh sb="11" eb="15">
      <t>バイキャクエキトウ</t>
    </rPh>
    <rPh sb="16" eb="17">
      <t>エキ</t>
    </rPh>
    <phoneticPr fontId="4"/>
  </si>
  <si>
    <t>リストラクチュアリング費用</t>
  </si>
  <si>
    <t>—</t>
  </si>
  <si>
    <t>営業利益（損失）</t>
  </si>
  <si>
    <t>税引前当期純利益（損失）</t>
  </si>
  <si>
    <t>継続事業税引前当期純利益</t>
    <phoneticPr fontId="4"/>
  </si>
  <si>
    <t>法人税等</t>
  </si>
  <si>
    <t>継続事業当期純利益</t>
    <phoneticPr fontId="4"/>
  </si>
  <si>
    <t>非継続事業当期純損失（利益）</t>
  </si>
  <si>
    <t>当社株主に帰属する当期純利益（損失）</t>
    <rPh sb="0" eb="2">
      <t>トウシャ</t>
    </rPh>
    <rPh sb="2" eb="4">
      <t>カブヌシ</t>
    </rPh>
    <rPh sb="5" eb="7">
      <t>キゾク</t>
    </rPh>
    <phoneticPr fontId="4"/>
  </si>
  <si>
    <r>
      <t>一株当たり指標（円）</t>
    </r>
    <r>
      <rPr>
        <sz val="10"/>
        <rFont val="Arial"/>
        <family val="2"/>
      </rPr>
      <t>:</t>
    </r>
  </si>
  <si>
    <t>　当社株主に帰属する当期純利益（損失）基本</t>
    <rPh sb="1" eb="3">
      <t>トウシャ</t>
    </rPh>
    <rPh sb="3" eb="5">
      <t>カブヌシ</t>
    </rPh>
    <rPh sb="6" eb="8">
      <t>キゾク</t>
    </rPh>
    <phoneticPr fontId="4"/>
  </si>
  <si>
    <t>　当社株主に帰属する当期純利益（損失）希薄化後</t>
    <rPh sb="1" eb="3">
      <t>トウシャ</t>
    </rPh>
    <rPh sb="3" eb="5">
      <t>カブヌシ</t>
    </rPh>
    <rPh sb="6" eb="8">
      <t>キゾク</t>
    </rPh>
    <phoneticPr fontId="4"/>
  </si>
  <si>
    <t>　キャッシュ・フロー</t>
    <phoneticPr fontId="4"/>
  </si>
  <si>
    <t>　純資産</t>
    <phoneticPr fontId="4"/>
  </si>
  <si>
    <t>　配当金</t>
    <phoneticPr fontId="4"/>
  </si>
  <si>
    <t>　配当性向（％）</t>
    <phoneticPr fontId="4"/>
  </si>
  <si>
    <t>総資産</t>
  </si>
  <si>
    <t>株主資本</t>
  </si>
  <si>
    <t>運転資本</t>
  </si>
  <si>
    <t>固定資産の取得</t>
    <rPh sb="0" eb="2">
      <t>コテイ</t>
    </rPh>
    <rPh sb="2" eb="4">
      <t>シサン</t>
    </rPh>
    <rPh sb="5" eb="7">
      <t>シュトク</t>
    </rPh>
    <phoneticPr fontId="4"/>
  </si>
  <si>
    <t>減価償却費</t>
  </si>
  <si>
    <t>研究開発費</t>
  </si>
  <si>
    <r>
      <t>海外生産比率</t>
    </r>
    <r>
      <rPr>
        <sz val="10"/>
        <rFont val="Arial"/>
        <family val="2"/>
      </rPr>
      <t>(</t>
    </r>
    <r>
      <rPr>
        <sz val="10"/>
        <rFont val="ＭＳ ゴシック"/>
        <family val="3"/>
        <charset val="128"/>
      </rPr>
      <t>％</t>
    </r>
    <r>
      <rPr>
        <sz val="10"/>
        <rFont val="Arial"/>
        <family val="2"/>
      </rPr>
      <t>)</t>
    </r>
    <phoneticPr fontId="4"/>
  </si>
  <si>
    <r>
      <t>従業員数</t>
    </r>
    <r>
      <rPr>
        <sz val="10"/>
        <rFont val="Arial"/>
        <family val="2"/>
      </rPr>
      <t>(</t>
    </r>
    <r>
      <rPr>
        <sz val="10"/>
        <rFont val="ＭＳ ゴシック"/>
        <family val="3"/>
        <charset val="128"/>
      </rPr>
      <t>人</t>
    </r>
    <r>
      <rPr>
        <sz val="10"/>
        <rFont val="Arial"/>
        <family val="2"/>
      </rPr>
      <t>)</t>
    </r>
  </si>
  <si>
    <r>
      <t>注記：</t>
    </r>
    <r>
      <rPr>
        <sz val="9"/>
        <rFont val="Arial"/>
        <family val="2"/>
      </rPr>
      <t/>
    </r>
    <rPh sb="0" eb="2">
      <t>チュウキ</t>
    </rPh>
    <phoneticPr fontId="4"/>
  </si>
  <si>
    <t>1.  2014年3月期より、米国財務会計基準審議会会計基準編纂書 205-20「財務諸表の表示－非継続事業」の規定に基づき、データテープ事業及びブルーレイ事業に係る損益は非継続事業として</t>
    <rPh sb="8" eb="9">
      <t>ネン</t>
    </rPh>
    <rPh sb="10" eb="12">
      <t>ガツキ</t>
    </rPh>
    <rPh sb="71" eb="72">
      <t>オヨ</t>
    </rPh>
    <rPh sb="78" eb="80">
      <t>ジギョウ</t>
    </rPh>
    <phoneticPr fontId="4"/>
  </si>
  <si>
    <t xml:space="preserve">    連結損益計算書に表示しております。これに伴い、2010年から2013年3月期の数値についても2014年3月期の表示にあわせてそれぞれ組替えております。</t>
    <rPh sb="31" eb="32">
      <t>ネン</t>
    </rPh>
    <rPh sb="38" eb="39">
      <t>ネン</t>
    </rPh>
    <rPh sb="40" eb="42">
      <t>ガツキ</t>
    </rPh>
    <rPh sb="54" eb="55">
      <t>ネン</t>
    </rPh>
    <rPh sb="56" eb="58">
      <t>ガツキ</t>
    </rPh>
    <phoneticPr fontId="4"/>
  </si>
  <si>
    <t xml:space="preserve">    但し、海外売上高、減価償却費、研究開発費及び海外生産比率については非継続事業を含めた数値を表示しております。</t>
    <rPh sb="4" eb="5">
      <t>タダ</t>
    </rPh>
    <rPh sb="7" eb="9">
      <t>カイガイ</t>
    </rPh>
    <rPh sb="9" eb="11">
      <t>ウリアゲ</t>
    </rPh>
    <rPh sb="11" eb="12">
      <t>ダカ</t>
    </rPh>
    <rPh sb="13" eb="15">
      <t>ゲンカ</t>
    </rPh>
    <rPh sb="15" eb="17">
      <t>ショウキャク</t>
    </rPh>
    <rPh sb="17" eb="18">
      <t>ヒ</t>
    </rPh>
    <rPh sb="19" eb="21">
      <t>ケンキュウ</t>
    </rPh>
    <rPh sb="21" eb="23">
      <t>カイハツ</t>
    </rPh>
    <rPh sb="23" eb="24">
      <t>ヒ</t>
    </rPh>
    <rPh sb="24" eb="25">
      <t>オヨ</t>
    </rPh>
    <rPh sb="26" eb="28">
      <t>カイガイ</t>
    </rPh>
    <rPh sb="28" eb="30">
      <t>セイサン</t>
    </rPh>
    <rPh sb="30" eb="32">
      <t>ヒリツ</t>
    </rPh>
    <rPh sb="37" eb="38">
      <t>ヒ</t>
    </rPh>
    <rPh sb="38" eb="40">
      <t>ケイゾク</t>
    </rPh>
    <rPh sb="40" eb="42">
      <t>ジギョウ</t>
    </rPh>
    <rPh sb="43" eb="44">
      <t>フク</t>
    </rPh>
    <rPh sb="46" eb="48">
      <t>スウチ</t>
    </rPh>
    <rPh sb="49" eb="51">
      <t>ヒョウジ</t>
    </rPh>
    <phoneticPr fontId="4"/>
  </si>
  <si>
    <t>(3月31日に終了した1年間および3月31日現在)</t>
    <rPh sb="2" eb="3">
      <t>ガツ</t>
    </rPh>
    <rPh sb="5" eb="6">
      <t>ニチ</t>
    </rPh>
    <rPh sb="7" eb="9">
      <t>シュウリョウ</t>
    </rPh>
    <rPh sb="12" eb="14">
      <t>ネンカン</t>
    </rPh>
    <rPh sb="18" eb="19">
      <t>ガツ</t>
    </rPh>
    <rPh sb="21" eb="22">
      <t>ニチ</t>
    </rPh>
    <rPh sb="22" eb="24">
      <t>ゲンザイ</t>
    </rPh>
    <phoneticPr fontId="4"/>
  </si>
  <si>
    <t>2021 (IFRS)</t>
  </si>
  <si>
    <t>2022 (IFRS)</t>
  </si>
  <si>
    <t>2023 (IFRS)</t>
  </si>
  <si>
    <t>2024 (IFRS)</t>
  </si>
  <si>
    <t>2025 (IFRS)</t>
  </si>
  <si>
    <t>2026 (IFRS)</t>
  </si>
  <si>
    <t>海外売上高(内数)</t>
    <rPh sb="0" eb="2">
      <t>カイガイ</t>
    </rPh>
    <rPh sb="6" eb="7">
      <t>ウチ</t>
    </rPh>
    <rPh sb="7" eb="8">
      <t>スウ</t>
    </rPh>
    <phoneticPr fontId="4"/>
  </si>
  <si>
    <t>売上原価</t>
    <phoneticPr fontId="4"/>
  </si>
  <si>
    <t>減損損失</t>
    <rPh sb="0" eb="2">
      <t>ゲンソン</t>
    </rPh>
    <rPh sb="2" eb="4">
      <t>ソンシツ</t>
    </rPh>
    <phoneticPr fontId="4"/>
  </si>
  <si>
    <t>のれんの減損</t>
    <rPh sb="4" eb="6">
      <t>ゲンソン</t>
    </rPh>
    <phoneticPr fontId="4"/>
  </si>
  <si>
    <t>高周波部品事業の一部の移管による事業譲渡益</t>
    <rPh sb="0" eb="3">
      <t>コウシュウハ</t>
    </rPh>
    <rPh sb="3" eb="5">
      <t>ブヒン</t>
    </rPh>
    <rPh sb="5" eb="7">
      <t>ジギョウ</t>
    </rPh>
    <rPh sb="8" eb="10">
      <t>イチブ</t>
    </rPh>
    <rPh sb="11" eb="13">
      <t>イカン</t>
    </rPh>
    <rPh sb="16" eb="18">
      <t>ジギョウ</t>
    </rPh>
    <rPh sb="18" eb="21">
      <t>ジョウトエキ</t>
    </rPh>
    <phoneticPr fontId="4"/>
  </si>
  <si>
    <t>拠点再編に係る固定資産売却益等(益)</t>
    <rPh sb="0" eb="2">
      <t>キョテン</t>
    </rPh>
    <rPh sb="2" eb="4">
      <t>サイヘン</t>
    </rPh>
    <rPh sb="5" eb="6">
      <t>カカ</t>
    </rPh>
    <rPh sb="7" eb="9">
      <t>コテイ</t>
    </rPh>
    <rPh sb="9" eb="11">
      <t>シサン</t>
    </rPh>
    <rPh sb="11" eb="15">
      <t>バイキャクエキトウ</t>
    </rPh>
    <rPh sb="16" eb="17">
      <t>エキ</t>
    </rPh>
    <phoneticPr fontId="4"/>
  </si>
  <si>
    <t>その他</t>
    <rPh sb="2" eb="3">
      <t>タ</t>
    </rPh>
    <phoneticPr fontId="4"/>
  </si>
  <si>
    <t>営業利益(損失)</t>
  </si>
  <si>
    <t>税引前利益(損失)</t>
  </si>
  <si>
    <t>継続事業税引前当期利益</t>
    <phoneticPr fontId="4"/>
  </si>
  <si>
    <t>継続事業当期利益</t>
    <phoneticPr fontId="4"/>
  </si>
  <si>
    <t>非継続事業当期損失(利益)</t>
  </si>
  <si>
    <t>親会社の所有者に帰属する当期利益(損失)</t>
    <rPh sb="0" eb="3">
      <t>オヤガイシャ</t>
    </rPh>
    <rPh sb="4" eb="7">
      <t>ショユウシャ</t>
    </rPh>
    <rPh sb="8" eb="10">
      <t>キゾク</t>
    </rPh>
    <phoneticPr fontId="4"/>
  </si>
  <si>
    <t>一株当たり指標(円):</t>
  </si>
  <si>
    <t>　親会社の所有者に帰属する当期利益(損失)基本</t>
    <rPh sb="1" eb="4">
      <t>オヤガイシャ</t>
    </rPh>
    <rPh sb="5" eb="8">
      <t>ショユウシャ</t>
    </rPh>
    <rPh sb="9" eb="11">
      <t>キゾク</t>
    </rPh>
    <phoneticPr fontId="4"/>
  </si>
  <si>
    <t>　親会社の所有者に帰属する当期利益(損失)希薄化後</t>
    <rPh sb="1" eb="4">
      <t>オヤガイシャ</t>
    </rPh>
    <rPh sb="5" eb="8">
      <t>ショユウシャ</t>
    </rPh>
    <rPh sb="9" eb="11">
      <t>キゾク</t>
    </rPh>
    <phoneticPr fontId="4"/>
  </si>
  <si>
    <t>　資本</t>
    <rPh sb="1" eb="3">
      <t>シホン</t>
    </rPh>
    <phoneticPr fontId="4"/>
  </si>
  <si>
    <t>　配当性向(%)</t>
  </si>
  <si>
    <t>親会社の所有者に帰属する持分</t>
    <rPh sb="0" eb="3">
      <t>オヤカイシャ</t>
    </rPh>
    <rPh sb="4" eb="7">
      <t>ショユウシャ</t>
    </rPh>
    <rPh sb="8" eb="10">
      <t>キゾク</t>
    </rPh>
    <rPh sb="12" eb="14">
      <t>モチブン</t>
    </rPh>
    <phoneticPr fontId="4"/>
  </si>
  <si>
    <t>研究開発費</t>
    <phoneticPr fontId="4"/>
  </si>
  <si>
    <t>従業員数(人)</t>
  </si>
  <si>
    <t>1．2017年3月期より、米国財務会計基準審議会会計基準アップデート 2015-03「債券発行コストの表示の簡素化」を適用しており、2015年3月期以降の総資産からも社債発行費を控除して表示しております。</t>
    <phoneticPr fontId="4"/>
  </si>
  <si>
    <t>2．2019年3月期より、米国財務会計基準審議会会計基準アップデート 2017-07「期間年金費用及び期間退職後給付費用の表示の改善」の適用に伴い、2018年3月期の実績について組替を実施した結果、売上原価を1,991百万円減少、営業利益を4,059百万円増加、販売費及び一般管理費を2,068百万円減少、研究開発費を816百万円減少させて表示しております。</t>
    <phoneticPr fontId="4"/>
  </si>
  <si>
    <t>3．当社は、2021年10月1日付で普通株式１株につき3株の割合で株式分割を行っております。前連結会計年度の期首に当該株式分割が行われたと仮定して、基本的1株当たり当期利益及び希薄化後1株当たり当期利益を算定しております。</t>
    <phoneticPr fontId="4"/>
  </si>
  <si>
    <t>4．2022年3月期より、国際財務報告基準に基づいて連結財務諸表を作成しております。なお、減損損失は、2022年3月期より売上原価、販売費及び一般管理費に含めて表示しております。</t>
    <phoneticPr fontId="4"/>
  </si>
  <si>
    <t>5．当社は、2024年10月１日付で普通株式1株につき5株の割合で株式分割を行っております。前連結会計年度の期首に当該株式分割が行われたと仮定して、基本的1株当たり当期利益及び希薄化後１株当たり当期利益を算定しております。</t>
    <phoneticPr fontId="4"/>
  </si>
  <si>
    <t>6．2022年3月期の1株当たり配当額145.00円は、2021年10月1日付による株式分割前の中間配当額100.00円と株式分割後の期末配当額45.00円です。</t>
    <phoneticPr fontId="4"/>
  </si>
  <si>
    <t>7．2025年3月期の1株当たり配当額86.00円は、2024年10月1日付による株式分割前の中間配当額70.00円と株式分割後の期末配当額16.00円です。</t>
    <phoneticPr fontId="4"/>
  </si>
  <si>
    <t>連結業績指標(1)</t>
    <rPh sb="0" eb="2">
      <t>レンケツ</t>
    </rPh>
    <rPh sb="2" eb="4">
      <t>ギョウセキ</t>
    </rPh>
    <rPh sb="4" eb="6">
      <t>シヒョウ</t>
    </rPh>
    <phoneticPr fontId="4"/>
  </si>
  <si>
    <t>(3月31日に終了した1年間および3月31日現在)</t>
  </si>
  <si>
    <t>単位：百万円</t>
    <phoneticPr fontId="4"/>
  </si>
  <si>
    <t>海外売上高(内数)</t>
    <rPh sb="6" eb="7">
      <t>ウチ</t>
    </rPh>
    <rPh sb="7" eb="8">
      <t>スウ</t>
    </rPh>
    <phoneticPr fontId="4"/>
  </si>
  <si>
    <t>　海外売上高比率(%)</t>
    <rPh sb="1" eb="3">
      <t>カイガイ</t>
    </rPh>
    <rPh sb="3" eb="5">
      <t>ウリアゲ</t>
    </rPh>
    <rPh sb="5" eb="6">
      <t>ダカ</t>
    </rPh>
    <rPh sb="6" eb="8">
      <t>ヒリツ</t>
    </rPh>
    <phoneticPr fontId="4"/>
  </si>
  <si>
    <t>　売上原価率(%)</t>
    <rPh sb="1" eb="3">
      <t>ウリアゲ</t>
    </rPh>
    <rPh sb="3" eb="5">
      <t>ゲンカ</t>
    </rPh>
    <rPh sb="5" eb="6">
      <t>リツ</t>
    </rPh>
    <phoneticPr fontId="4"/>
  </si>
  <si>
    <t>　販売費及び一般管理費比率(%)</t>
    <rPh sb="11" eb="13">
      <t>ヒリツ</t>
    </rPh>
    <phoneticPr fontId="4"/>
  </si>
  <si>
    <t>　営業利益率(%)</t>
    <rPh sb="1" eb="3">
      <t>エイギョウ</t>
    </rPh>
    <rPh sb="3" eb="5">
      <t>リエキ</t>
    </rPh>
    <rPh sb="5" eb="6">
      <t>リツ</t>
    </rPh>
    <phoneticPr fontId="4"/>
  </si>
  <si>
    <t>　当期利益率(%)</t>
    <rPh sb="1" eb="3">
      <t>トウキ</t>
    </rPh>
    <rPh sb="3" eb="5">
      <t>リエキ</t>
    </rPh>
    <rPh sb="5" eb="6">
      <t>リツ</t>
    </rPh>
    <phoneticPr fontId="4"/>
  </si>
  <si>
    <t>　キャッシュフロー比(%)</t>
    <rPh sb="9" eb="10">
      <t>ヒ</t>
    </rPh>
    <phoneticPr fontId="4"/>
  </si>
  <si>
    <t>キャッシュ・フロー</t>
  </si>
  <si>
    <t>　売上高比(%)</t>
    <rPh sb="1" eb="3">
      <t>ウリアゲ</t>
    </rPh>
    <rPh sb="3" eb="4">
      <t>ダカ</t>
    </rPh>
    <rPh sb="4" eb="5">
      <t>ヒ</t>
    </rPh>
    <phoneticPr fontId="4"/>
  </si>
  <si>
    <t>1．2019年3月期より、米国財務会計基準審議会会計基準アップデート 2017-07「期間年金費用及び期間退職後給付費用の表示の改善」の適用に伴い、2018年3月期の実績について組替を実施した結果、売上原価を1,991百万円減少、営業利益を4,059百万円増加、販売費及び一般管理費を2,068百万円減少、研究開発費を816百万円減少させて表示しております。</t>
    <phoneticPr fontId="4"/>
  </si>
  <si>
    <t>2．2022年3月期より、国際財務報告基準に基づいて連結財務諸表を作成しております。</t>
    <phoneticPr fontId="4"/>
  </si>
  <si>
    <t>連結業績指標(2)</t>
    <rPh sb="0" eb="2">
      <t>レンケツ</t>
    </rPh>
    <rPh sb="2" eb="4">
      <t>ギョウセキ</t>
    </rPh>
    <rPh sb="4" eb="6">
      <t>シヒョウ</t>
    </rPh>
    <phoneticPr fontId="4"/>
  </si>
  <si>
    <t>投下資本利益率－ROIC (%)</t>
    <rPh sb="0" eb="2">
      <t>トウカ</t>
    </rPh>
    <rPh sb="2" eb="4">
      <t>シホン</t>
    </rPh>
    <rPh sb="4" eb="6">
      <t>リエキ</t>
    </rPh>
    <rPh sb="6" eb="7">
      <t>リツ</t>
    </rPh>
    <rPh sb="7" eb="8">
      <t>シュウリツ</t>
    </rPh>
    <phoneticPr fontId="4"/>
  </si>
  <si>
    <t>親会社の所有者に帰属する持分利益率－ROE (%)</t>
    <rPh sb="0" eb="3">
      <t>オヤガイシャ</t>
    </rPh>
    <rPh sb="4" eb="7">
      <t>ショユウシャ</t>
    </rPh>
    <rPh sb="8" eb="10">
      <t>キゾク</t>
    </rPh>
    <rPh sb="12" eb="14">
      <t>モチブン</t>
    </rPh>
    <rPh sb="14" eb="16">
      <t>リエキ</t>
    </rPh>
    <rPh sb="16" eb="17">
      <t>リツ</t>
    </rPh>
    <phoneticPr fontId="4"/>
  </si>
  <si>
    <t>総資産利益率－ROA (%)</t>
    <rPh sb="0" eb="3">
      <t>ソウシサン</t>
    </rPh>
    <rPh sb="3" eb="5">
      <t>リエキ</t>
    </rPh>
    <rPh sb="5" eb="6">
      <t>リツ</t>
    </rPh>
    <phoneticPr fontId="4"/>
  </si>
  <si>
    <t>総資産回転率(回)</t>
    <rPh sb="3" eb="5">
      <t>カイテン</t>
    </rPh>
    <rPh sb="5" eb="6">
      <t>リツ</t>
    </rPh>
    <rPh sb="7" eb="8">
      <t>カイ</t>
    </rPh>
    <phoneticPr fontId="4"/>
  </si>
  <si>
    <t>有形固定資産</t>
  </si>
  <si>
    <t>固定資産回転率(回)</t>
    <rPh sb="0" eb="2">
      <t>コテイ</t>
    </rPh>
    <rPh sb="2" eb="4">
      <t>シサン</t>
    </rPh>
    <rPh sb="4" eb="6">
      <t>カイテン</t>
    </rPh>
    <rPh sb="6" eb="7">
      <t>リツ</t>
    </rPh>
    <rPh sb="8" eb="9">
      <t>カイ</t>
    </rPh>
    <phoneticPr fontId="4"/>
  </si>
  <si>
    <t>棚卸資産</t>
    <rPh sb="0" eb="1">
      <t>タナ</t>
    </rPh>
    <phoneticPr fontId="4"/>
  </si>
  <si>
    <t>在庫回転率(回)</t>
    <rPh sb="0" eb="2">
      <t>ザイコ</t>
    </rPh>
    <rPh sb="2" eb="4">
      <t>カイテン</t>
    </rPh>
    <rPh sb="4" eb="5">
      <t>リツ</t>
    </rPh>
    <rPh sb="6" eb="7">
      <t>カイ</t>
    </rPh>
    <phoneticPr fontId="4"/>
  </si>
  <si>
    <t>親会社の所有者に帰属する持分</t>
    <rPh sb="0" eb="3">
      <t>オヤガイシャ</t>
    </rPh>
    <rPh sb="4" eb="7">
      <t>ショユウシャ</t>
    </rPh>
    <rPh sb="8" eb="10">
      <t>キゾク</t>
    </rPh>
    <rPh sb="12" eb="14">
      <t>モチブン</t>
    </rPh>
    <phoneticPr fontId="4"/>
  </si>
  <si>
    <t>親会社の所有者に帰属する持分比率(%)</t>
    <rPh sb="0" eb="3">
      <t>オヤガイシャ</t>
    </rPh>
    <rPh sb="4" eb="7">
      <t>ショユウシャ</t>
    </rPh>
    <rPh sb="8" eb="10">
      <t>キゾク</t>
    </rPh>
    <rPh sb="12" eb="14">
      <t>モチブン</t>
    </rPh>
    <rPh sb="14" eb="16">
      <t>ヒリツ</t>
    </rPh>
    <phoneticPr fontId="4"/>
  </si>
  <si>
    <t>流動比率(倍)</t>
  </si>
  <si>
    <t>負債/親会社の所有者に帰属する持分比率(倍)</t>
  </si>
  <si>
    <t>インタレスト・カバレッジ・レシオ(倍)</t>
  </si>
  <si>
    <t>1．2017年3月期より、米国財務会計基準審議会会計基準アップデート 2015-03「債券発行コストの表示の簡素化」を適用しており、2015年3月期以降の総資産からも社債発行費を控除して表示しております。また、投資収益率、総資産利益率、総資産回転率及び負債/株主資本比率につきましても再算出し、表示しております。</t>
  </si>
  <si>
    <t>2．2022年3月期より、国際財務報告基準に基づいて連結財務諸表を作成しております。</t>
  </si>
  <si>
    <t>連結損益計算書　　　　　　　</t>
    <phoneticPr fontId="4"/>
  </si>
  <si>
    <t>（3月31日に終了した1年間および3月31日現在）</t>
    <phoneticPr fontId="4"/>
  </si>
  <si>
    <t>売上総利益</t>
  </si>
  <si>
    <t>厚生年金基金の代行部分返上:</t>
  </si>
  <si>
    <t>営業外損益:</t>
  </si>
  <si>
    <t>　受取利息及び受取配当金</t>
    <rPh sb="5" eb="6">
      <t>オヨ</t>
    </rPh>
    <phoneticPr fontId="4"/>
  </si>
  <si>
    <t>　支払利息</t>
    <phoneticPr fontId="4"/>
  </si>
  <si>
    <t>　関連会社利益(損失)持分</t>
    <phoneticPr fontId="4"/>
  </si>
  <si>
    <t>　有価証券売却益（損）</t>
    <rPh sb="9" eb="10">
      <t>ソン</t>
    </rPh>
    <phoneticPr fontId="4"/>
  </si>
  <si>
    <t>　退職給付信託設定益</t>
    <phoneticPr fontId="4"/>
  </si>
  <si>
    <t>　有価証券評価損</t>
    <phoneticPr fontId="4"/>
  </si>
  <si>
    <t>　為替差損益(損失)</t>
    <phoneticPr fontId="4"/>
  </si>
  <si>
    <t>　その他</t>
    <rPh sb="3" eb="4">
      <t>タ</t>
    </rPh>
    <phoneticPr fontId="4"/>
  </si>
  <si>
    <t>税引前当期純利益(損失)</t>
  </si>
  <si>
    <t>非支配持分控除前当期純利益(損失)</t>
    <rPh sb="0" eb="1">
      <t>ヒ</t>
    </rPh>
    <rPh sb="1" eb="3">
      <t>シハイ</t>
    </rPh>
    <rPh sb="3" eb="5">
      <t>モチブン</t>
    </rPh>
    <rPh sb="5" eb="7">
      <t>コウジョ</t>
    </rPh>
    <phoneticPr fontId="4"/>
  </si>
  <si>
    <t>非継続事業当期純損失(利益)</t>
    <phoneticPr fontId="4"/>
  </si>
  <si>
    <t>当期純利益(損失)</t>
    <phoneticPr fontId="4"/>
  </si>
  <si>
    <t>非支配持分帰属利益(損失)</t>
    <rPh sb="0" eb="1">
      <t>ヒ</t>
    </rPh>
    <rPh sb="1" eb="3">
      <t>シハイ</t>
    </rPh>
    <rPh sb="3" eb="5">
      <t>モチブン</t>
    </rPh>
    <rPh sb="5" eb="7">
      <t>キゾク</t>
    </rPh>
    <rPh sb="7" eb="9">
      <t>リエキ</t>
    </rPh>
    <rPh sb="10" eb="12">
      <t>ソンシツ</t>
    </rPh>
    <phoneticPr fontId="4"/>
  </si>
  <si>
    <t>当社株主に帰属する当期純利益(損失)</t>
    <rPh sb="0" eb="2">
      <t>トウシャ</t>
    </rPh>
    <rPh sb="2" eb="4">
      <t>カブヌシ</t>
    </rPh>
    <rPh sb="5" eb="7">
      <t>キゾク</t>
    </rPh>
    <phoneticPr fontId="4"/>
  </si>
  <si>
    <t>2021 (IFRS)</t>
    <phoneticPr fontId="4"/>
  </si>
  <si>
    <t>2022 (IFRS)</t>
    <phoneticPr fontId="4"/>
  </si>
  <si>
    <t>2023 (IFRS)</t>
    <phoneticPr fontId="4"/>
  </si>
  <si>
    <t>2024 (IFRS)</t>
    <phoneticPr fontId="4"/>
  </si>
  <si>
    <t>2026 (IFRS)</t>
    <phoneticPr fontId="4"/>
  </si>
  <si>
    <r>
      <rPr>
        <sz val="10"/>
        <rFont val="ＭＳ Ｐゴシック"/>
        <family val="2"/>
        <charset val="128"/>
      </rPr>
      <t>　　</t>
    </r>
    <phoneticPr fontId="4"/>
  </si>
  <si>
    <r>
      <rPr>
        <sz val="10"/>
        <rFont val="ＭＳ Ｐゴシック"/>
        <family val="2"/>
        <charset val="128"/>
      </rPr>
      <t>　</t>
    </r>
    <phoneticPr fontId="4"/>
  </si>
  <si>
    <t>　金融収益</t>
    <rPh sb="1" eb="5">
      <t>キンユウシュウエキ</t>
    </rPh>
    <phoneticPr fontId="4"/>
  </si>
  <si>
    <t>　金融費用</t>
    <rPh sb="1" eb="5">
      <t>キンユウヒヨウ</t>
    </rPh>
    <phoneticPr fontId="4"/>
  </si>
  <si>
    <t>　持分法による投資損益</t>
    <rPh sb="1" eb="3">
      <t>モチブン</t>
    </rPh>
    <rPh sb="3" eb="4">
      <t>ホウ</t>
    </rPh>
    <rPh sb="7" eb="9">
      <t>トウシ</t>
    </rPh>
    <rPh sb="9" eb="11">
      <t>ソンエキ</t>
    </rPh>
    <phoneticPr fontId="4"/>
  </si>
  <si>
    <t>　有価証券関連損益(純額)</t>
    <rPh sb="1" eb="5">
      <t>ユウカショウケン</t>
    </rPh>
    <rPh sb="5" eb="7">
      <t>カンレン</t>
    </rPh>
    <rPh sb="7" eb="9">
      <t>ソンエキ</t>
    </rPh>
    <rPh sb="10" eb="12">
      <t>ジュンガク</t>
    </rPh>
    <phoneticPr fontId="4"/>
  </si>
  <si>
    <t>　為替差損益(損失)</t>
  </si>
  <si>
    <t>継続事業税引前利益</t>
    <phoneticPr fontId="4"/>
  </si>
  <si>
    <t>当期利益(損失)</t>
  </si>
  <si>
    <t>非支配持分に帰属する当期利益(損失)</t>
    <rPh sb="0" eb="3">
      <t>ヒシハイ</t>
    </rPh>
    <rPh sb="3" eb="5">
      <t>モチブン</t>
    </rPh>
    <rPh sb="6" eb="8">
      <t>キゾク</t>
    </rPh>
    <rPh sb="10" eb="12">
      <t>トウキ</t>
    </rPh>
    <rPh sb="12" eb="14">
      <t>リエキ</t>
    </rPh>
    <rPh sb="15" eb="17">
      <t>ソンシツ</t>
    </rPh>
    <phoneticPr fontId="4"/>
  </si>
  <si>
    <t>親会社の所有者に帰属する当期利益(損失)</t>
    <rPh sb="0" eb="3">
      <t>オヤカイシャ</t>
    </rPh>
    <rPh sb="4" eb="6">
      <t>ショユウ</t>
    </rPh>
    <rPh sb="6" eb="7">
      <t>シャ</t>
    </rPh>
    <rPh sb="8" eb="10">
      <t>キゾク</t>
    </rPh>
    <phoneticPr fontId="4"/>
  </si>
  <si>
    <t>1．2019年3月期より、米国財務会計基準審議会会計基準アップデート 2017-07「期間年金費用及び期間退職後給付費用の表示の改善」の適用に伴い、2018年3月期の売上原価から1,991百万円、販管費及び一般管理費から2,068百万円を営業外損益に組替えております。</t>
    <phoneticPr fontId="4"/>
  </si>
  <si>
    <t>2．2022年3月期より、国際財務報告基準に基づいて連結財務諸表を作成しております。これに伴い、過去の数値についても2022年3月期の表示にあわせて一部組替えを行っております。なお、減損損失は、2022年3月期より売上原価、販売費及び一般管理費に含めて表示しております。</t>
    <phoneticPr fontId="4"/>
  </si>
  <si>
    <t>連結貸借対照表</t>
    <phoneticPr fontId="4"/>
  </si>
  <si>
    <t>2025 (IFRS)</t>
    <phoneticPr fontId="4"/>
  </si>
  <si>
    <t>資産</t>
    <phoneticPr fontId="4"/>
  </si>
  <si>
    <t>　流動資産</t>
    <phoneticPr fontId="4"/>
  </si>
  <si>
    <t>　現金及び現金同等物</t>
    <rPh sb="3" eb="4">
      <t>オヨ</t>
    </rPh>
    <phoneticPr fontId="4"/>
  </si>
  <si>
    <t>　短期投資</t>
    <rPh sb="1" eb="3">
      <t>タンキ</t>
    </rPh>
    <rPh sb="3" eb="5">
      <t>トウシ</t>
    </rPh>
    <phoneticPr fontId="4"/>
  </si>
  <si>
    <t>　有価証券</t>
    <phoneticPr fontId="4"/>
  </si>
  <si>
    <t>　売上債権：</t>
    <rPh sb="1" eb="3">
      <t>ウリアゲ</t>
    </rPh>
    <rPh sb="3" eb="5">
      <t>サイケン</t>
    </rPh>
    <phoneticPr fontId="4"/>
  </si>
  <si>
    <t>　　受取手形</t>
    <phoneticPr fontId="4"/>
  </si>
  <si>
    <t>　　売掛金</t>
    <phoneticPr fontId="4"/>
  </si>
  <si>
    <t>　　貸倒引当金</t>
    <phoneticPr fontId="4"/>
  </si>
  <si>
    <t>　　差引計</t>
    <phoneticPr fontId="4"/>
  </si>
  <si>
    <t xml:space="preserve">  営業債権</t>
    <rPh sb="2" eb="6">
      <t>エイギョウサイケン</t>
    </rPh>
    <phoneticPr fontId="4"/>
  </si>
  <si>
    <t xml:space="preserve">  その他の金融資産</t>
    <phoneticPr fontId="4"/>
  </si>
  <si>
    <t>　棚卸資産</t>
    <rPh sb="1" eb="2">
      <t>タナ</t>
    </rPh>
    <phoneticPr fontId="4"/>
  </si>
  <si>
    <t>　未収法人所得税</t>
    <rPh sb="3" eb="8">
      <t>ホウジンショトクゼイ</t>
    </rPh>
    <phoneticPr fontId="4"/>
  </si>
  <si>
    <t>　売却予定資産</t>
    <phoneticPr fontId="4"/>
  </si>
  <si>
    <t>　その他の流動資産</t>
    <phoneticPr fontId="4"/>
  </si>
  <si>
    <t>　流動資産合計</t>
    <phoneticPr fontId="4"/>
  </si>
  <si>
    <t>　非流動資産</t>
    <rPh sb="1" eb="2">
      <t>ヒ</t>
    </rPh>
    <phoneticPr fontId="4"/>
  </si>
  <si>
    <t>　投資</t>
    <phoneticPr fontId="4"/>
  </si>
  <si>
    <t>　持分法で会計処理されている投資</t>
    <rPh sb="14" eb="16">
      <t>トウシ</t>
    </rPh>
    <phoneticPr fontId="4"/>
  </si>
  <si>
    <t>　その他の金融資産</t>
    <rPh sb="3" eb="4">
      <t>タ</t>
    </rPh>
    <rPh sb="5" eb="9">
      <t>キンユウシサン</t>
    </rPh>
    <phoneticPr fontId="4"/>
  </si>
  <si>
    <t>　有形固定資産</t>
    <rPh sb="1" eb="7">
      <t>ユウケイコテイシサン</t>
    </rPh>
    <phoneticPr fontId="4"/>
  </si>
  <si>
    <t>　有形固定資産：</t>
    <phoneticPr fontId="4"/>
  </si>
  <si>
    <t>　　土地</t>
    <phoneticPr fontId="4"/>
  </si>
  <si>
    <t>　　建物</t>
    <phoneticPr fontId="4"/>
  </si>
  <si>
    <t>　　機械装置及び器具備品</t>
    <rPh sb="6" eb="7">
      <t>オヨ</t>
    </rPh>
    <phoneticPr fontId="4"/>
  </si>
  <si>
    <t>　　建設仮勘定</t>
    <phoneticPr fontId="4"/>
  </si>
  <si>
    <t>　　減価償却累計額</t>
    <phoneticPr fontId="4"/>
  </si>
  <si>
    <t xml:space="preserve">  使用権資産</t>
    <phoneticPr fontId="4"/>
  </si>
  <si>
    <t>　のれん</t>
    <phoneticPr fontId="4"/>
  </si>
  <si>
    <t>　無形資産</t>
    <phoneticPr fontId="4"/>
  </si>
  <si>
    <t>　前払年金費用</t>
    <phoneticPr fontId="4"/>
  </si>
  <si>
    <t>　長期前渡金</t>
    <rPh sb="1" eb="3">
      <t>チョウキ</t>
    </rPh>
    <rPh sb="3" eb="6">
      <t>ゼントキン</t>
    </rPh>
    <phoneticPr fontId="4"/>
  </si>
  <si>
    <t>　繰延税金資産</t>
    <phoneticPr fontId="4"/>
  </si>
  <si>
    <t>　その他の非流動資産</t>
    <rPh sb="5" eb="6">
      <t>ヒ</t>
    </rPh>
    <rPh sb="6" eb="8">
      <t>リュウドウ</t>
    </rPh>
    <rPh sb="8" eb="10">
      <t>シサン</t>
    </rPh>
    <phoneticPr fontId="4"/>
  </si>
  <si>
    <t>資産合計</t>
  </si>
  <si>
    <t>1．2017年3月期より、米国財務会計基準審議会会計基準アップデート 2015-03「債券発行コストの表示の簡素化」を適用しており、2015年3月期以降のその他の資産からも社債発行費を控除して表示しております。</t>
  </si>
  <si>
    <t>2．2022年3月期より、国際財務報告基準に基づいて連結財務諸表を作成しております。これに伴い、過去の数値についても2022年3月期の表示にあわせて一部組替えを行っております。なお、持分法で会計処理されている投資、その他の金融資産は、2022年3月期より別掲しております。</t>
  </si>
  <si>
    <t>負債</t>
    <phoneticPr fontId="4"/>
  </si>
  <si>
    <t xml:space="preserve"> 流動負債</t>
    <phoneticPr fontId="4"/>
  </si>
  <si>
    <t xml:space="preserve"> 社債及び借入金</t>
  </si>
  <si>
    <t xml:space="preserve"> 短期借入債務</t>
    <rPh sb="1" eb="3">
      <t>タンキ</t>
    </rPh>
    <rPh sb="3" eb="5">
      <t>カリイレ</t>
    </rPh>
    <rPh sb="5" eb="7">
      <t>サイム</t>
    </rPh>
    <phoneticPr fontId="4"/>
  </si>
  <si>
    <t xml:space="preserve"> 一年以内返済予定の長期借入債務</t>
    <phoneticPr fontId="4"/>
  </si>
  <si>
    <t xml:space="preserve"> リース負債</t>
    <rPh sb="4" eb="6">
      <t>フサイ</t>
    </rPh>
    <phoneticPr fontId="4"/>
  </si>
  <si>
    <t xml:space="preserve"> 営業債務</t>
    <rPh sb="1" eb="3">
      <t>エイギョウ</t>
    </rPh>
    <phoneticPr fontId="4"/>
  </si>
  <si>
    <t>　支払手形</t>
    <phoneticPr fontId="4"/>
  </si>
  <si>
    <t>　買掛金</t>
    <phoneticPr fontId="4"/>
  </si>
  <si>
    <t xml:space="preserve"> 未払費用等</t>
    <phoneticPr fontId="4"/>
  </si>
  <si>
    <t xml:space="preserve"> その他の金融負債</t>
    <phoneticPr fontId="4"/>
  </si>
  <si>
    <t xml:space="preserve"> 未払法人所得税</t>
    <rPh sb="3" eb="8">
      <t>ホウジンショトクゼイ</t>
    </rPh>
    <phoneticPr fontId="4"/>
  </si>
  <si>
    <t xml:space="preserve"> 売却予定負債</t>
    <phoneticPr fontId="4"/>
  </si>
  <si>
    <t xml:space="preserve"> 引当金</t>
    <rPh sb="3" eb="4">
      <t>キン</t>
    </rPh>
    <phoneticPr fontId="4"/>
  </si>
  <si>
    <t xml:space="preserve"> その他の流動負債</t>
    <phoneticPr fontId="4"/>
  </si>
  <si>
    <t xml:space="preserve"> 流動負債合計</t>
    <phoneticPr fontId="4"/>
  </si>
  <si>
    <t xml:space="preserve"> 非流動負債</t>
    <rPh sb="1" eb="2">
      <t>ヒ</t>
    </rPh>
    <phoneticPr fontId="4"/>
  </si>
  <si>
    <t xml:space="preserve"> 社債及び借入金</t>
    <rPh sb="1" eb="3">
      <t>シャサイ</t>
    </rPh>
    <rPh sb="3" eb="4">
      <t>オヨ</t>
    </rPh>
    <rPh sb="5" eb="8">
      <t>カリイレキン</t>
    </rPh>
    <phoneticPr fontId="4"/>
  </si>
  <si>
    <t xml:space="preserve"> その他の金融負債</t>
  </si>
  <si>
    <t xml:space="preserve"> 退職給付に係る負債</t>
    <rPh sb="3" eb="5">
      <t>キュウフ</t>
    </rPh>
    <rPh sb="6" eb="7">
      <t>カカ</t>
    </rPh>
    <rPh sb="8" eb="10">
      <t>フサイ</t>
    </rPh>
    <phoneticPr fontId="4"/>
  </si>
  <si>
    <t xml:space="preserve"> 引当金</t>
    <rPh sb="1" eb="4">
      <t>ヒキアテキン</t>
    </rPh>
    <phoneticPr fontId="4"/>
  </si>
  <si>
    <t xml:space="preserve"> 繰延税金負債</t>
    <phoneticPr fontId="4"/>
  </si>
  <si>
    <t>長期未払法人所得税</t>
    <phoneticPr fontId="4"/>
  </si>
  <si>
    <t xml:space="preserve"> その他の非流動負債</t>
    <rPh sb="5" eb="6">
      <t>ヒ</t>
    </rPh>
    <rPh sb="6" eb="8">
      <t>リュウドウ</t>
    </rPh>
    <rPh sb="8" eb="10">
      <t>フサイ</t>
    </rPh>
    <phoneticPr fontId="4"/>
  </si>
  <si>
    <t xml:space="preserve"> 負債合計</t>
    <phoneticPr fontId="4"/>
  </si>
  <si>
    <t xml:space="preserve"> 資本</t>
    <rPh sb="1" eb="3">
      <t>シホン</t>
    </rPh>
    <phoneticPr fontId="4"/>
  </si>
  <si>
    <t xml:space="preserve"> 親会社の所有者に帰属する持分</t>
    <rPh sb="1" eb="4">
      <t>オヤガイシャ</t>
    </rPh>
    <rPh sb="5" eb="8">
      <t>ショユウシャ</t>
    </rPh>
    <rPh sb="9" eb="11">
      <t>キゾク</t>
    </rPh>
    <rPh sb="13" eb="15">
      <t>モチブン</t>
    </rPh>
    <phoneticPr fontId="4"/>
  </si>
  <si>
    <t xml:space="preserve"> 資本金</t>
    <phoneticPr fontId="4"/>
  </si>
  <si>
    <t xml:space="preserve"> 資本剰余金</t>
    <phoneticPr fontId="4"/>
  </si>
  <si>
    <t xml:space="preserve"> 利益準備金</t>
    <rPh sb="3" eb="6">
      <t>ジュンビキン</t>
    </rPh>
    <phoneticPr fontId="4"/>
  </si>
  <si>
    <t xml:space="preserve"> 利益剰余金</t>
    <rPh sb="1" eb="3">
      <t>リエキ</t>
    </rPh>
    <phoneticPr fontId="4"/>
  </si>
  <si>
    <t xml:space="preserve"> その他の資本の構成要素</t>
    <rPh sb="5" eb="7">
      <t>シホン</t>
    </rPh>
    <rPh sb="8" eb="12">
      <t>コウセイヨウソ</t>
    </rPh>
    <phoneticPr fontId="4"/>
  </si>
  <si>
    <t xml:space="preserve"> 自己株式</t>
    <phoneticPr fontId="4"/>
  </si>
  <si>
    <t xml:space="preserve"> 親会社の所有者に帰属する持分合計</t>
    <rPh sb="15" eb="17">
      <t>ゴウケイ</t>
    </rPh>
    <phoneticPr fontId="4"/>
  </si>
  <si>
    <t xml:space="preserve"> 非支配持分</t>
    <rPh sb="1" eb="2">
      <t>ヒ</t>
    </rPh>
    <rPh sb="2" eb="4">
      <t>シハイ</t>
    </rPh>
    <rPh sb="4" eb="6">
      <t>モチブン</t>
    </rPh>
    <phoneticPr fontId="4"/>
  </si>
  <si>
    <t xml:space="preserve"> 資本合計</t>
    <rPh sb="1" eb="3">
      <t>シホン</t>
    </rPh>
    <rPh sb="3" eb="5">
      <t>ゴウケイ</t>
    </rPh>
    <phoneticPr fontId="4"/>
  </si>
  <si>
    <t>負債及び資本合計</t>
    <rPh sb="2" eb="3">
      <t>オヨ</t>
    </rPh>
    <rPh sb="4" eb="6">
      <t>シホン</t>
    </rPh>
    <rPh sb="6" eb="8">
      <t>ゴウケイ</t>
    </rPh>
    <phoneticPr fontId="4"/>
  </si>
  <si>
    <t>1．2017年3月期より、米国財務会計基準審議会会計基準アップデート 2015-03「債券発行コストの表示の簡素化」を適用しており、2015年3月期以降の長期借入債務からも社債発行費を控除して表示しております。</t>
    <phoneticPr fontId="4"/>
  </si>
  <si>
    <t>2．2022年3月期より、国際財務報告基準に基づいて連結財務諸表を作成しております。これに伴い、過去の数値についても2022年3月期の表示にあわせて一部組替えを行っております。なお、その他の金融負債、引当金は、2022年3月期より別掲しております。</t>
  </si>
  <si>
    <t>3. 2025年3月期において「その他の非流動負債」に含めて表示していた「長期未払法人所得税」については、金額的重要性が増したため、2026年3月期より独立掲記しております。この表示方法の変更を反映させるため、2025年3月期の連結財政状態計算書の組替えを行っております。この結果、2025年3月期の連結財政状態計算書において、「その他の非流動負債」に表示していた15,211百万円は、「長期未払法人所得税」1,007百万円、「その他の非流動負債」14,204百万円として組替えて表示しております。</t>
    <rPh sb="7" eb="8">
      <t>ネン</t>
    </rPh>
    <rPh sb="9" eb="11">
      <t>ガツキ</t>
    </rPh>
    <rPh sb="70" eb="71">
      <t>ネン</t>
    </rPh>
    <rPh sb="72" eb="74">
      <t>ガツキ</t>
    </rPh>
    <rPh sb="109" eb="110">
      <t>ネン</t>
    </rPh>
    <rPh sb="111" eb="113">
      <t>ガツキ</t>
    </rPh>
    <rPh sb="145" eb="146">
      <t>ネン</t>
    </rPh>
    <rPh sb="147" eb="149">
      <t>ガツキ</t>
    </rPh>
    <phoneticPr fontId="4"/>
  </si>
  <si>
    <t>連結キャッシュ・フロー計算書</t>
    <rPh sb="11" eb="14">
      <t>ケイサンショ</t>
    </rPh>
    <phoneticPr fontId="4"/>
  </si>
  <si>
    <t>営業活動によるキャッシュ・フロー</t>
    <phoneticPr fontId="4"/>
  </si>
  <si>
    <t>　当期利益(損失)</t>
    <rPh sb="1" eb="3">
      <t>トウキ</t>
    </rPh>
    <rPh sb="3" eb="5">
      <t>リエキ</t>
    </rPh>
    <rPh sb="6" eb="8">
      <t>ソンシツ</t>
    </rPh>
    <phoneticPr fontId="4"/>
  </si>
  <si>
    <t>　非継続事業当期純損失</t>
    <phoneticPr fontId="4"/>
  </si>
  <si>
    <t>　継続事業当期純利益</t>
    <phoneticPr fontId="4"/>
  </si>
  <si>
    <t>　営業活動による純現金収入との調整</t>
    <phoneticPr fontId="4"/>
  </si>
  <si>
    <t>　　減価償却費及び償却費</t>
  </si>
  <si>
    <t>　　固定資産処分損</t>
    <phoneticPr fontId="4"/>
  </si>
  <si>
    <t>　　減損損失(又は戻入れ)</t>
    <rPh sb="2" eb="4">
      <t>ゲンソン</t>
    </rPh>
    <phoneticPr fontId="4"/>
  </si>
  <si>
    <t>　　法人所得税費用</t>
    <phoneticPr fontId="4"/>
  </si>
  <si>
    <t>　　金融収益</t>
    <rPh sb="2" eb="4">
      <t>キンユウ</t>
    </rPh>
    <rPh sb="4" eb="6">
      <t>シュウエキ</t>
    </rPh>
    <phoneticPr fontId="4"/>
  </si>
  <si>
    <t>　　記録メディア販売事業譲渡益</t>
    <rPh sb="2" eb="4">
      <t>キロク</t>
    </rPh>
    <rPh sb="8" eb="10">
      <t>ハンバイ</t>
    </rPh>
    <rPh sb="10" eb="12">
      <t>ジギョウ</t>
    </rPh>
    <rPh sb="12" eb="15">
      <t>ジョウトエキ</t>
    </rPh>
    <phoneticPr fontId="4"/>
  </si>
  <si>
    <t>　　金融費用</t>
    <rPh sb="4" eb="6">
      <t>ヒヨウ</t>
    </rPh>
    <phoneticPr fontId="4"/>
  </si>
  <si>
    <t xml:space="preserve">    高周波部品事業の一部の移管による事業譲渡益</t>
    <rPh sb="4" eb="7">
      <t>コウシュウハ</t>
    </rPh>
    <rPh sb="7" eb="9">
      <t>ブヒン</t>
    </rPh>
    <rPh sb="9" eb="11">
      <t>ジギョウ</t>
    </rPh>
    <rPh sb="12" eb="14">
      <t>イチブ</t>
    </rPh>
    <rPh sb="15" eb="17">
      <t>イカン</t>
    </rPh>
    <rPh sb="20" eb="22">
      <t>ジギョウ</t>
    </rPh>
    <rPh sb="22" eb="25">
      <t>ジョウトエキ</t>
    </rPh>
    <phoneticPr fontId="4"/>
  </si>
  <si>
    <t>　　子会社売却益</t>
    <phoneticPr fontId="4"/>
  </si>
  <si>
    <t>　　持分法による投資損益</t>
    <rPh sb="2" eb="4">
      <t>モチブン</t>
    </rPh>
    <rPh sb="4" eb="5">
      <t>ホウ</t>
    </rPh>
    <rPh sb="8" eb="10">
      <t>トウシ</t>
    </rPh>
    <rPh sb="10" eb="12">
      <t>ソンエキ</t>
    </rPh>
    <phoneticPr fontId="4"/>
  </si>
  <si>
    <t>　　関連会社売却益</t>
    <rPh sb="2" eb="4">
      <t>カンレン</t>
    </rPh>
    <rPh sb="4" eb="6">
      <t>カイシャ</t>
    </rPh>
    <rPh sb="6" eb="9">
      <t>バイキャクエキ</t>
    </rPh>
    <phoneticPr fontId="4"/>
  </si>
  <si>
    <t>　資産及び負債の増減</t>
  </si>
  <si>
    <t>　　営業債権の減少(増加)</t>
  </si>
  <si>
    <t>　　棚卸資産の減少(増加)</t>
    <rPh sb="2" eb="3">
      <t>タナ</t>
    </rPh>
    <phoneticPr fontId="4"/>
  </si>
  <si>
    <t xml:space="preserve">    長期前渡金の減少(増加)</t>
  </si>
  <si>
    <t>　　その他の流動資産の減少(増加)</t>
  </si>
  <si>
    <t>　　営業債務の増加(減少)</t>
  </si>
  <si>
    <t>　　未払費用等の増加(減少)</t>
  </si>
  <si>
    <t>　　未払税金の増減(純額)</t>
  </si>
  <si>
    <t>　　その他の流動負債の増加(△減少)</t>
  </si>
  <si>
    <t>　　その他の資産負債の増減(純額)</t>
  </si>
  <si>
    <t>　　その他の金融資産の減少(△増加)</t>
  </si>
  <si>
    <t>　　その他の金融負債の増加(△減少)</t>
  </si>
  <si>
    <t>　　その他の金融資産負債の増減(純額)</t>
  </si>
  <si>
    <t>　　退職給付に係る負債の増加(減少)</t>
  </si>
  <si>
    <t>　利息及び配当金の受取額</t>
    <rPh sb="11" eb="12">
      <t>ガク</t>
    </rPh>
    <phoneticPr fontId="4"/>
  </si>
  <si>
    <t>　利息の支払額</t>
    <rPh sb="6" eb="7">
      <t>ガク</t>
    </rPh>
    <phoneticPr fontId="4"/>
  </si>
  <si>
    <t>　法人所得税の支払額</t>
    <rPh sb="9" eb="10">
      <t>ガク</t>
    </rPh>
    <phoneticPr fontId="4"/>
  </si>
  <si>
    <t>　その他</t>
    <phoneticPr fontId="4"/>
  </si>
  <si>
    <t>投資活動によるキャッシュ・フロー</t>
    <phoneticPr fontId="4"/>
  </si>
  <si>
    <t>　固定資産の取得</t>
    <phoneticPr fontId="4"/>
  </si>
  <si>
    <t>　固定資産の売却等</t>
    <rPh sb="8" eb="9">
      <t>トウ</t>
    </rPh>
    <phoneticPr fontId="4"/>
  </si>
  <si>
    <t>　定期預金の払戻</t>
    <rPh sb="1" eb="3">
      <t>テイキ</t>
    </rPh>
    <rPh sb="3" eb="5">
      <t>ヨキン</t>
    </rPh>
    <rPh sb="6" eb="8">
      <t>ハライモドシ</t>
    </rPh>
    <phoneticPr fontId="4"/>
  </si>
  <si>
    <t>　定期預金の預入</t>
    <phoneticPr fontId="4"/>
  </si>
  <si>
    <t>　有価証券の売却及び償還</t>
    <rPh sb="8" eb="9">
      <t>オヨ</t>
    </rPh>
    <phoneticPr fontId="4"/>
  </si>
  <si>
    <t>　有価証券の取得</t>
    <phoneticPr fontId="4"/>
  </si>
  <si>
    <t>　資産の取得</t>
    <rPh sb="1" eb="3">
      <t>シサン</t>
    </rPh>
    <rPh sb="4" eb="6">
      <t>シュトク</t>
    </rPh>
    <phoneticPr fontId="4"/>
  </si>
  <si>
    <t>　事業の譲渡</t>
    <rPh sb="1" eb="3">
      <t>ジギョウ</t>
    </rPh>
    <rPh sb="4" eb="6">
      <t>ジョウト</t>
    </rPh>
    <phoneticPr fontId="4"/>
  </si>
  <si>
    <t xml:space="preserve">  高周波部品事業の一部の事業譲渡</t>
    <rPh sb="2" eb="5">
      <t>コウシュウハ</t>
    </rPh>
    <rPh sb="5" eb="7">
      <t>ブヒン</t>
    </rPh>
    <rPh sb="7" eb="9">
      <t>ジギョウ</t>
    </rPh>
    <rPh sb="10" eb="12">
      <t>イチブ</t>
    </rPh>
    <rPh sb="13" eb="15">
      <t>ジギョウ</t>
    </rPh>
    <rPh sb="15" eb="17">
      <t>ジョウト</t>
    </rPh>
    <phoneticPr fontId="4"/>
  </si>
  <si>
    <t>　事業の取得</t>
    <rPh sb="1" eb="3">
      <t>ジギョウ</t>
    </rPh>
    <rPh sb="4" eb="6">
      <t>シュトク</t>
    </rPh>
    <phoneticPr fontId="4"/>
  </si>
  <si>
    <t>　子会社の取得－取得現金控除後</t>
    <phoneticPr fontId="4"/>
  </si>
  <si>
    <t>　関連会社の売却</t>
    <rPh sb="1" eb="3">
      <t>カンレン</t>
    </rPh>
    <rPh sb="3" eb="5">
      <t>ガイシャ</t>
    </rPh>
    <rPh sb="6" eb="8">
      <t>バイキャク</t>
    </rPh>
    <phoneticPr fontId="4"/>
  </si>
  <si>
    <t>　関連会社の取得</t>
    <rPh sb="1" eb="3">
      <t>カンレン</t>
    </rPh>
    <rPh sb="3" eb="5">
      <t>ガイシャ</t>
    </rPh>
    <rPh sb="6" eb="8">
      <t>シュトク</t>
    </rPh>
    <phoneticPr fontId="4"/>
  </si>
  <si>
    <t>　事業の買収－取得現金控除後</t>
    <phoneticPr fontId="4"/>
  </si>
  <si>
    <t>　少数株主持分の取得</t>
    <phoneticPr fontId="4"/>
  </si>
  <si>
    <t>　非継続事業の売却</t>
    <phoneticPr fontId="4"/>
  </si>
  <si>
    <t>財務活動によるキャッシュ・フロー</t>
  </si>
  <si>
    <t>　長期借入金による調達額</t>
    <phoneticPr fontId="4"/>
  </si>
  <si>
    <t>　長期借入金の返済額</t>
    <phoneticPr fontId="4"/>
  </si>
  <si>
    <t>　満期日が３ヶ月超の借入債務による調達額</t>
  </si>
  <si>
    <t>　満期日が３ヶ月超の借入債務の返済額</t>
  </si>
  <si>
    <t>　満期日が３ヶ月以内の借入債務の増減(純額)</t>
    <rPh sb="8" eb="10">
      <t>イナイ</t>
    </rPh>
    <phoneticPr fontId="4"/>
  </si>
  <si>
    <t>　短期借入金の増減(純額)</t>
    <rPh sb="1" eb="3">
      <t>タンキ</t>
    </rPh>
    <rPh sb="3" eb="6">
      <t>カリイレキン</t>
    </rPh>
    <rPh sb="7" eb="9">
      <t>ゾウゲン</t>
    </rPh>
    <rPh sb="10" eb="12">
      <t>ジュンガク</t>
    </rPh>
    <phoneticPr fontId="4"/>
  </si>
  <si>
    <t>　社債による調達額</t>
    <rPh sb="8" eb="9">
      <t>ガク</t>
    </rPh>
    <phoneticPr fontId="4"/>
  </si>
  <si>
    <t xml:space="preserve">  社債の償還による支出</t>
    <rPh sb="10" eb="12">
      <t>シシュツ</t>
    </rPh>
    <phoneticPr fontId="4"/>
  </si>
  <si>
    <t>　コマーシャル・ペーパーの増減(純額)</t>
  </si>
  <si>
    <t>　リース負債の返済額</t>
    <rPh sb="9" eb="10">
      <t>ガク</t>
    </rPh>
    <phoneticPr fontId="4"/>
  </si>
  <si>
    <t>　配当金の支払額</t>
    <phoneticPr fontId="4"/>
  </si>
  <si>
    <t>　非支配持分の取得</t>
    <rPh sb="1" eb="2">
      <t>ヒ</t>
    </rPh>
    <rPh sb="2" eb="4">
      <t>シハイ</t>
    </rPh>
    <rPh sb="4" eb="6">
      <t>モチブン</t>
    </rPh>
    <rPh sb="7" eb="9">
      <t>シュトク</t>
    </rPh>
    <phoneticPr fontId="4"/>
  </si>
  <si>
    <t>財務活動によるキャッシュ・フロー</t>
    <phoneticPr fontId="4"/>
  </si>
  <si>
    <t>非継続事業によるキャッシュ・フロー</t>
    <phoneticPr fontId="4"/>
  </si>
  <si>
    <t>為替変動による現金及び現金同等物への影響額</t>
    <rPh sb="9" eb="10">
      <t>オヨ</t>
    </rPh>
    <phoneticPr fontId="4"/>
  </si>
  <si>
    <t>現金及び現金同等物の増加(減少)</t>
    <rPh sb="2" eb="3">
      <t>オヨ</t>
    </rPh>
    <phoneticPr fontId="4"/>
  </si>
  <si>
    <t>現金及び現金同等物の期首残高</t>
    <rPh sb="2" eb="3">
      <t>オヨ</t>
    </rPh>
    <phoneticPr fontId="4"/>
  </si>
  <si>
    <t>現金及び現金同等物の期末残高</t>
    <rPh sb="2" eb="3">
      <t>オヨ</t>
    </rPh>
    <phoneticPr fontId="4"/>
  </si>
  <si>
    <t>1．2019年3月期より、財務活動によるキャッシュ・フローにおける債務の増減について、「長期借入債務による調達額」、「長期借入債務の返済額」、「短期借入債務の増減(純額)」の3区分から、「満期日が3ヶ月超の借入債務による調達額」「満期日が3ヶ月超の借入債務の返済額」「満期日が3ヶ月以内の借入債務の増減(純額)」の3区分に変更して表示しております。これに伴い、2017年から2018年3月期の数値についても2019年3月期の表示にあわせてそれぞれ組替えております。</t>
  </si>
  <si>
    <t>2．2022年3月期より、国際財務報告基準に基づいて連結財務諸表を作成しております。これに伴い、過去の数値についても2022年3月期の表示にあわせて一部組替えを行っております。なお、「金融費用」「利息及び配当金の受取額」「利息の支払額」「法人所得税の支払額」「社債による調達額」「リース負債の返済額」は、2022年3月期より別掲しております。</t>
    <phoneticPr fontId="4"/>
  </si>
  <si>
    <t>セグメント情報(1)</t>
    <rPh sb="5" eb="7">
      <t>ジョウホウ</t>
    </rPh>
    <phoneticPr fontId="4"/>
  </si>
  <si>
    <t>全社合計</t>
    <rPh sb="0" eb="2">
      <t>ゼンシャ</t>
    </rPh>
    <rPh sb="2" eb="4">
      <t>ゴウケイ</t>
    </rPh>
    <phoneticPr fontId="4"/>
  </si>
  <si>
    <t>　売上高</t>
    <phoneticPr fontId="4"/>
  </si>
  <si>
    <t xml:space="preserve"> 　営業利益(損失)</t>
    <rPh sb="2" eb="4">
      <t>エイギョウ</t>
    </rPh>
    <rPh sb="4" eb="6">
      <t>リエキ</t>
    </rPh>
    <rPh sb="7" eb="9">
      <t>ソンシツ</t>
    </rPh>
    <phoneticPr fontId="4"/>
  </si>
  <si>
    <t xml:space="preserve"> 　総資産</t>
    <rPh sb="2" eb="5">
      <t>ソウシサン</t>
    </rPh>
    <phoneticPr fontId="4"/>
  </si>
  <si>
    <t>事業区分別売上高</t>
    <rPh sb="0" eb="2">
      <t>ジギョウ</t>
    </rPh>
    <rPh sb="2" eb="4">
      <t>クブン</t>
    </rPh>
    <rPh sb="4" eb="5">
      <t>ベツ</t>
    </rPh>
    <rPh sb="5" eb="7">
      <t>ウリアゲ</t>
    </rPh>
    <rPh sb="7" eb="8">
      <t>ダカ</t>
    </rPh>
    <phoneticPr fontId="4"/>
  </si>
  <si>
    <t xml:space="preserve">  受動部品</t>
    <rPh sb="2" eb="4">
      <t>ジュドウ</t>
    </rPh>
    <rPh sb="4" eb="6">
      <t>ブヒン</t>
    </rPh>
    <phoneticPr fontId="4"/>
  </si>
  <si>
    <t>　　      売上高比率 (%)</t>
    <rPh sb="8" eb="10">
      <t>ウリアゲ</t>
    </rPh>
    <rPh sb="10" eb="11">
      <t>ダカ</t>
    </rPh>
    <rPh sb="11" eb="13">
      <t>ヒリツ</t>
    </rPh>
    <phoneticPr fontId="4"/>
  </si>
  <si>
    <t xml:space="preserve">  磁気応用製品</t>
    <rPh sb="2" eb="4">
      <t>ジキ</t>
    </rPh>
    <rPh sb="4" eb="6">
      <t>オウヨウ</t>
    </rPh>
    <rPh sb="6" eb="8">
      <t>セイヒン</t>
    </rPh>
    <phoneticPr fontId="4"/>
  </si>
  <si>
    <t xml:space="preserve">  フィルム応用製品</t>
    <rPh sb="6" eb="8">
      <t>オウヨウ</t>
    </rPh>
    <rPh sb="8" eb="10">
      <t>セイヒン</t>
    </rPh>
    <phoneticPr fontId="4"/>
  </si>
  <si>
    <t xml:space="preserve">  その他</t>
    <rPh sb="4" eb="5">
      <t>タ</t>
    </rPh>
    <phoneticPr fontId="4"/>
  </si>
  <si>
    <r>
      <t>事業区分別売上高</t>
    </r>
    <r>
      <rPr>
        <vertAlign val="superscript"/>
        <sz val="10"/>
        <rFont val="ＭＳ ゴシック"/>
        <family val="3"/>
        <charset val="128"/>
      </rPr>
      <t>*1</t>
    </r>
    <rPh sb="0" eb="2">
      <t>ジギョウ</t>
    </rPh>
    <rPh sb="2" eb="4">
      <t>クブン</t>
    </rPh>
    <rPh sb="4" eb="5">
      <t>ベツ</t>
    </rPh>
    <rPh sb="5" eb="7">
      <t>ウリアゲ</t>
    </rPh>
    <rPh sb="7" eb="8">
      <t>ダカ</t>
    </rPh>
    <phoneticPr fontId="4"/>
  </si>
  <si>
    <t>　センサ応用製品</t>
    <rPh sb="4" eb="6">
      <t>オウヨウ</t>
    </rPh>
    <rPh sb="6" eb="8">
      <t>セイヒン</t>
    </rPh>
    <phoneticPr fontId="4"/>
  </si>
  <si>
    <r>
      <t>事業区分別売上高</t>
    </r>
    <r>
      <rPr>
        <vertAlign val="superscript"/>
        <sz val="10"/>
        <rFont val="ＭＳ ゴシック"/>
        <family val="3"/>
        <charset val="128"/>
      </rPr>
      <t>*2</t>
    </r>
    <rPh sb="0" eb="2">
      <t>ジギョウ</t>
    </rPh>
    <rPh sb="2" eb="4">
      <t>クブン</t>
    </rPh>
    <rPh sb="4" eb="5">
      <t>ベツ</t>
    </rPh>
    <rPh sb="5" eb="7">
      <t>ウリアゲ</t>
    </rPh>
    <rPh sb="7" eb="8">
      <t>ダカ</t>
    </rPh>
    <phoneticPr fontId="4"/>
  </si>
  <si>
    <t xml:space="preserve">  エナジー応用製品</t>
    <rPh sb="6" eb="8">
      <t>オウヨウ</t>
    </rPh>
    <rPh sb="8" eb="10">
      <t>セイヒン</t>
    </rPh>
    <phoneticPr fontId="4"/>
  </si>
  <si>
    <t>*1．2018年3月期から新事業セグメント(受動部品、センサ応用製品、磁気応用製品、フィルム応用製品、その他)による業績開示に変更しています。</t>
  </si>
  <si>
    <t>*2．2019年3月期から新事業セグメント(受動部品、センサ応用製品、磁気応用製品、エナジー応用製品、その他)による業績開示に変更しています。</t>
  </si>
  <si>
    <t>注記：</t>
    <rPh sb="0" eb="2">
      <t>チュウキ</t>
    </rPh>
    <phoneticPr fontId="4"/>
  </si>
  <si>
    <t>1．2015年3月期より、米国財務会計基準審議会会計基準編纂書 205-20「財務諸表の表示－非継続事業」の規定に基づき、データテープ事業及びブルーレイ事業に係る損益は非継続事業として連結損益計算書に表示しております。</t>
  </si>
  <si>
    <t>2．2016年3月期における組織変更により、2015年3月期の数値について、従来「受動部品」セグメント及び「磁気応用製品」セグメントに属していた一部の製品を「その他」に組替えております。</t>
  </si>
  <si>
    <t>3．2017年3月期における組織変更により、従来「その他」に属していた一部製品を「受動部品」セグメントのインダクティブデバイス及びその他受動部品に 、並びに「フィルム応用製品」セグメントに属していた一部の製品を「その他」に、それぞれ区分変更するとともに、2016年3月期の数値についても変更後の区分に組替えております。</t>
  </si>
  <si>
    <t>4．2017年3月期より、米国財務会計基準審議会会計基準アップデート 2015-03「債券発行コストの表示の簡素化」を適用しており、2015年3月期以降の総資産からも社債発行費を控除して表示しております。</t>
  </si>
  <si>
    <t>5．2018年3月期における組織変更により、報告セグメント「センサ応用製品」を新設しております。また、従来「その他」に属していた一部製品を「受動部品」セグメントに、並びに「磁気応用製品」に属していた一部製品を「その他」にそれぞれ区分変更するとともに、2017年3月期の数値についても変更後の区分に組替えております。</t>
  </si>
  <si>
    <t>6．2019年3月期における組織変更により、報告セグメント「エナジー応用製品」を新設しております。また、従来「受動部品」セグメントのその他受動部品に属していた一部製品を「その他」に、「その他」に属していた一部製品を「受動部品」セグメントのその他受動部品に、「センサ応用製品」セグメントに属していた一部製品を「その他」に、それぞれ区分変更するとともに、2018年3月期の数値についても変更後の区分に組替えております。</t>
  </si>
  <si>
    <t>7．2023年3月期における組織変更により、従来「その他」に属していた一部製品を「受動部品」セグメント及び「センサ応用製品」セグメントに区分変更するとともに、2022年3月期の数値についても変更後の区分に組替えております。</t>
  </si>
  <si>
    <t>8．2024年3月期における組織変更により、従来「その他」に属していた一部製品を「受動部品」セグメントに区分変更するとともに、2023年3月期の数値についても変更後の区分に組替えております。</t>
  </si>
  <si>
    <t>セグメント情報(2)</t>
    <rPh sb="5" eb="7">
      <t>ジョウホウ</t>
    </rPh>
    <phoneticPr fontId="4"/>
  </si>
  <si>
    <t xml:space="preserve">2025年3月期 </t>
  </si>
  <si>
    <t>第1四半期</t>
    <rPh sb="0" eb="1">
      <t>ダイ</t>
    </rPh>
    <rPh sb="2" eb="3">
      <t>シ</t>
    </rPh>
    <rPh sb="3" eb="5">
      <t>ハンキ</t>
    </rPh>
    <phoneticPr fontId="4"/>
  </si>
  <si>
    <t>第2四半期</t>
    <rPh sb="0" eb="1">
      <t>ダイ</t>
    </rPh>
    <rPh sb="2" eb="3">
      <t>シ</t>
    </rPh>
    <rPh sb="3" eb="5">
      <t>ハンキ</t>
    </rPh>
    <phoneticPr fontId="4"/>
  </si>
  <si>
    <t>第3四半期</t>
    <rPh sb="0" eb="1">
      <t>ダイ</t>
    </rPh>
    <rPh sb="2" eb="3">
      <t>シ</t>
    </rPh>
    <rPh sb="3" eb="5">
      <t>ハンキ</t>
    </rPh>
    <phoneticPr fontId="4"/>
  </si>
  <si>
    <t>第4四半期</t>
    <rPh sb="0" eb="1">
      <t>ダイ</t>
    </rPh>
    <rPh sb="2" eb="3">
      <t>シ</t>
    </rPh>
    <rPh sb="3" eb="5">
      <t>ハンキ</t>
    </rPh>
    <phoneticPr fontId="4"/>
  </si>
  <si>
    <t xml:space="preserve"> (単位：百万円)</t>
  </si>
  <si>
    <t>(4月-6月)</t>
    <rPh sb="2" eb="3">
      <t>ガツ</t>
    </rPh>
    <rPh sb="5" eb="6">
      <t>ガツ</t>
    </rPh>
    <phoneticPr fontId="4"/>
  </si>
  <si>
    <t>(7月-9月)</t>
    <rPh sb="2" eb="3">
      <t>ガツ</t>
    </rPh>
    <rPh sb="5" eb="6">
      <t>ガツ</t>
    </rPh>
    <phoneticPr fontId="4"/>
  </si>
  <si>
    <t>(10月-12月)</t>
    <rPh sb="3" eb="4">
      <t>ガツ</t>
    </rPh>
    <rPh sb="7" eb="8">
      <t>ガツ</t>
    </rPh>
    <phoneticPr fontId="4"/>
  </si>
  <si>
    <t>(1月-3月)</t>
    <rPh sb="2" eb="3">
      <t>ガツ</t>
    </rPh>
    <rPh sb="5" eb="6">
      <t>ガツ</t>
    </rPh>
    <phoneticPr fontId="4"/>
  </si>
  <si>
    <t>売上高</t>
    <rPh sb="0" eb="2">
      <t>ウリアゲ</t>
    </rPh>
    <rPh sb="2" eb="3">
      <t>ダカ</t>
    </rPh>
    <phoneticPr fontId="4"/>
  </si>
  <si>
    <t>受動部品</t>
    <rPh sb="0" eb="2">
      <t>ジュドウ</t>
    </rPh>
    <rPh sb="2" eb="4">
      <t>ブヒン</t>
    </rPh>
    <phoneticPr fontId="4"/>
  </si>
  <si>
    <t>センサ応用製品</t>
    <rPh sb="3" eb="7">
      <t>オウヨウセイヒン</t>
    </rPh>
    <phoneticPr fontId="4"/>
  </si>
  <si>
    <t>磁気応用製品</t>
    <rPh sb="0" eb="2">
      <t>ジキ</t>
    </rPh>
    <rPh sb="2" eb="4">
      <t>オウヨウ</t>
    </rPh>
    <rPh sb="4" eb="6">
      <t>セイヒン</t>
    </rPh>
    <phoneticPr fontId="4"/>
  </si>
  <si>
    <t>エナジー応用製品</t>
    <rPh sb="4" eb="6">
      <t>オウヨウ</t>
    </rPh>
    <rPh sb="6" eb="8">
      <t>セイヒン</t>
    </rPh>
    <phoneticPr fontId="4"/>
  </si>
  <si>
    <t xml:space="preserve">2026年3月期 </t>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</si>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</sst>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0\)"/>
    <numFmt numFmtId="177" formatCode="#,##0.0_);\(#,##0.0\)"/>
    <numFmt numFmtId="178" formatCode="0.0_ "/>
    <numFmt numFmtId="179" formatCode="0.0"/>
    <numFmt numFmtId="180" formatCode="#,##0.0"/>
    <numFmt numFmtId="181" formatCode="#,##0.0;&quot;¥&quot;\-#,##0.0"/>
  </numFmts>
  <fonts count="47">
    <font>
      <sz val="12"/>
      <name val="Osaka"/>
      <family val="3"/>
      <charset val="128"/>
    </font>
    <font>
      <sz val="11"/>
      <color theme="1"/>
      <name val="ＭＳ Ｐゴシック"/>
      <family val="2"/>
      <charset val="128"/>
      <scheme val="minor"/>
    </font>
    <font>
      <b/>
      <sz val="12"/>
      <name val="Osaka"/>
      <family val="3"/>
      <charset val="128"/>
    </font>
    <font>
      <sz val="12"/>
      <name val="Osaka"/>
      <family val="3"/>
      <charset val="128"/>
    </font>
    <font>
      <sz val="6"/>
      <name val="Osaka"/>
      <family val="3"/>
      <charset val="128"/>
    </font>
    <font>
      <b/>
      <sz val="12"/>
      <name val="Arial"/>
      <family val="2"/>
    </font>
    <font>
      <sz val="11"/>
      <name val="Arial"/>
      <family val="2"/>
    </font>
    <font>
      <sz val="12"/>
      <name val="Arial"/>
      <family val="2"/>
    </font>
    <font>
      <b/>
      <sz val="12"/>
      <name val="ＭＳ ゴシック"/>
      <family val="3"/>
      <charset val="128"/>
    </font>
    <font>
      <sz val="9"/>
      <name val="Arial"/>
      <family val="2"/>
    </font>
    <font>
      <sz val="9"/>
      <name val="ＭＳ ゴシック"/>
      <family val="3"/>
      <charset val="128"/>
    </font>
    <font>
      <b/>
      <sz val="9"/>
      <name val="Arial"/>
      <family val="2"/>
    </font>
    <font>
      <sz val="9"/>
      <name val="ＭＳ Ｐゴシック"/>
      <family val="3"/>
      <charset val="128"/>
    </font>
    <font>
      <sz val="10"/>
      <name val="Arial"/>
      <family val="2"/>
    </font>
    <font>
      <sz val="10"/>
      <name val="ＭＳ ゴシック"/>
      <family val="3"/>
      <charset val="128"/>
    </font>
    <font>
      <b/>
      <sz val="10"/>
      <name val="Arial"/>
      <family val="2"/>
    </font>
    <font>
      <b/>
      <sz val="10"/>
      <name val="ＭＳ ゴシック"/>
      <family val="3"/>
      <charset val="128"/>
    </font>
    <font>
      <sz val="10"/>
      <name val="ＭＳ Ｐゴシック"/>
      <family val="3"/>
      <charset val="128"/>
    </font>
    <font>
      <sz val="8"/>
      <name val="ＭＳ Ｐゴシック"/>
      <family val="3"/>
      <charset val="128"/>
    </font>
    <font>
      <sz val="8"/>
      <name val="ＭＳ ゴシック"/>
      <family val="3"/>
      <charset val="128"/>
    </font>
    <font>
      <sz val="12"/>
      <name val="ＭＳ Ｐゴシック"/>
      <family val="3"/>
      <charset val="128"/>
    </font>
    <font>
      <sz val="9"/>
      <color indexed="8"/>
      <name val="Arial"/>
      <family val="2"/>
    </font>
    <font>
      <sz val="11"/>
      <name val="ＭＳ ゴシック"/>
      <family val="3"/>
      <charset val="128"/>
    </font>
    <font>
      <sz val="12"/>
      <name val="ＭＳ ゴシック"/>
      <family val="3"/>
      <charset val="128"/>
    </font>
    <font>
      <vertAlign val="superscript"/>
      <sz val="10"/>
      <name val="ＭＳ ゴシック"/>
      <family val="3"/>
      <charset val="128"/>
    </font>
    <font>
      <sz val="9"/>
      <color indexed="8"/>
      <name val="ＭＳ ゴシック"/>
      <family val="3"/>
      <charset val="128"/>
    </font>
    <font>
      <b/>
      <sz val="12"/>
      <color indexed="10"/>
      <name val="ＭＳ ゴシック"/>
      <family val="3"/>
      <charset val="128"/>
    </font>
    <font>
      <sz val="10"/>
      <name val="Osaka"/>
      <family val="3"/>
      <charset val="128"/>
    </font>
    <font>
      <b/>
      <sz val="10"/>
      <name val="Osaka"/>
      <family val="3"/>
      <charset val="128"/>
    </font>
    <font>
      <b/>
      <sz val="14"/>
      <name val="Arial"/>
      <family val="2"/>
    </font>
    <font>
      <sz val="9"/>
      <color indexed="81"/>
      <name val="ＭＳ Ｐゴシック"/>
      <family val="3"/>
      <charset val="128"/>
    </font>
    <font>
      <b/>
      <sz val="9"/>
      <color indexed="81"/>
      <name val="ＭＳ Ｐゴシック"/>
      <family val="3"/>
      <charset val="128"/>
    </font>
    <font>
      <b/>
      <sz val="11"/>
      <name val="Arial"/>
      <family val="2"/>
    </font>
    <font>
      <sz val="11"/>
      <name val="ＭＳ Ｐゴシック"/>
      <family val="3"/>
      <charset val="128"/>
    </font>
    <font>
      <sz val="28"/>
      <color rgb="FFFF0000"/>
      <name val="Osaka"/>
      <family val="3"/>
      <charset val="128"/>
    </font>
    <font>
      <sz val="36"/>
      <color rgb="FFFF0000"/>
      <name val="Osaka"/>
      <family val="3"/>
      <charset val="128"/>
    </font>
    <font>
      <b/>
      <sz val="12"/>
      <color rgb="FFFF0000"/>
      <name val="Osaka"/>
      <family val="3"/>
      <charset val="128"/>
    </font>
    <font>
      <sz val="12"/>
      <name val="ＭＳ Ｐゴシック"/>
      <family val="2"/>
      <charset val="128"/>
    </font>
    <font>
      <sz val="10"/>
      <name val="ＭＳ Ｐゴシック"/>
      <family val="2"/>
      <charset val="128"/>
    </font>
    <font>
      <sz val="10"/>
      <name val="游ゴシック"/>
      <family val="2"/>
      <charset val="128"/>
    </font>
    <font>
      <b/>
      <sz val="10"/>
      <name val="ＭＳ Ｐゴシック"/>
      <family val="3"/>
      <charset val="128"/>
    </font>
    <font>
      <b/>
      <sz val="12"/>
      <name val="ＭＳ Ｐゴシック"/>
      <family val="2"/>
      <charset val="128"/>
    </font>
    <font>
      <b/>
      <sz val="10"/>
      <name val="游ゴシック"/>
      <family val="2"/>
      <charset val="128"/>
    </font>
    <font>
      <sz val="12"/>
      <name val="Arial"/>
      <family val="2"/>
      <charset val="128"/>
    </font>
    <font>
      <sz val="10"/>
      <name val="Arial"/>
      <family val="2"/>
      <charset val="128"/>
    </font>
    <font>
      <sz val="9"/>
      <name val="Arial"/>
      <family val="2"/>
      <charset val="128"/>
    </font>
    <font>
      <b/>
      <sz val="10"/>
      <name val="Arial"/>
      <family val="2"/>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s>
  <borders count="5">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272">
    <xf numFmtId="0" fontId="0" fillId="0" borderId="0" xfId="0"/>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6" fillId="0" borderId="0" xfId="0" applyFont="1" applyAlignment="1">
      <alignment horizontal="right" vertical="center"/>
    </xf>
    <xf numFmtId="0" fontId="11" fillId="0" borderId="0" xfId="0" applyFont="1" applyAlignment="1">
      <alignment vertical="center"/>
    </xf>
    <xf numFmtId="0" fontId="13" fillId="0" borderId="0" xfId="0" applyFont="1" applyAlignment="1">
      <alignment vertical="center"/>
    </xf>
    <xf numFmtId="37" fontId="13" fillId="0" borderId="0" xfId="2" applyNumberFormat="1" applyFont="1" applyFill="1" applyAlignment="1">
      <alignment vertical="center"/>
    </xf>
    <xf numFmtId="37" fontId="13" fillId="0" borderId="0" xfId="2" applyNumberFormat="1" applyFont="1" applyFill="1" applyAlignment="1">
      <alignment horizontal="right" vertical="center"/>
    </xf>
    <xf numFmtId="39" fontId="13" fillId="0" borderId="0" xfId="2" applyNumberFormat="1" applyFont="1" applyFill="1" applyAlignment="1">
      <alignment vertical="center"/>
    </xf>
    <xf numFmtId="177" fontId="13" fillId="0" borderId="0" xfId="2" applyNumberFormat="1" applyFont="1" applyFill="1" applyAlignment="1">
      <alignment vertical="center"/>
    </xf>
    <xf numFmtId="37" fontId="13" fillId="0" borderId="1" xfId="2" applyNumberFormat="1" applyFont="1" applyFill="1" applyBorder="1" applyAlignment="1">
      <alignment vertical="center"/>
    </xf>
    <xf numFmtId="176" fontId="13" fillId="0" borderId="2" xfId="2" applyNumberFormat="1" applyFont="1" applyBorder="1" applyAlignment="1">
      <alignment vertical="center"/>
    </xf>
    <xf numFmtId="0" fontId="14" fillId="0" borderId="0" xfId="0" applyFont="1" applyAlignment="1">
      <alignment horizontal="left" vertical="center"/>
    </xf>
    <xf numFmtId="37" fontId="17" fillId="0" borderId="0" xfId="2" applyNumberFormat="1" applyFont="1" applyFill="1" applyAlignment="1">
      <alignment horizontal="right" vertical="center"/>
    </xf>
    <xf numFmtId="0" fontId="18" fillId="0" borderId="2" xfId="0" applyFont="1" applyBorder="1" applyAlignment="1">
      <alignment vertical="center" shrinkToFit="1"/>
    </xf>
    <xf numFmtId="0" fontId="14" fillId="2" borderId="0" xfId="0" applyFont="1" applyFill="1" applyAlignment="1">
      <alignment horizontal="left" vertical="center"/>
    </xf>
    <xf numFmtId="37" fontId="13" fillId="2" borderId="0" xfId="2" applyNumberFormat="1" applyFont="1" applyFill="1" applyAlignment="1">
      <alignment vertical="center"/>
    </xf>
    <xf numFmtId="0" fontId="14" fillId="2" borderId="0" xfId="0" applyFont="1" applyFill="1" applyAlignment="1">
      <alignment horizontal="left" vertical="center" shrinkToFit="1"/>
    </xf>
    <xf numFmtId="37" fontId="13" fillId="2" borderId="0" xfId="2" applyNumberFormat="1" applyFont="1" applyFill="1" applyAlignment="1">
      <alignment horizontal="right" vertical="center"/>
    </xf>
    <xf numFmtId="0" fontId="13" fillId="2" borderId="0" xfId="0" applyFont="1" applyFill="1" applyAlignment="1">
      <alignment vertical="center"/>
    </xf>
    <xf numFmtId="37" fontId="13" fillId="2" borderId="1" xfId="2" applyNumberFormat="1" applyFont="1" applyFill="1" applyBorder="1" applyAlignment="1">
      <alignment vertical="center"/>
    </xf>
    <xf numFmtId="39" fontId="13" fillId="2" borderId="0" xfId="2" applyNumberFormat="1" applyFont="1" applyFill="1" applyAlignment="1">
      <alignment vertical="center"/>
    </xf>
    <xf numFmtId="37" fontId="15" fillId="0" borderId="0" xfId="2" applyNumberFormat="1" applyFont="1" applyFill="1" applyAlignment="1">
      <alignment vertical="center"/>
    </xf>
    <xf numFmtId="37" fontId="15" fillId="2" borderId="0" xfId="2" applyNumberFormat="1" applyFont="1" applyFill="1" applyAlignment="1">
      <alignment vertical="center"/>
    </xf>
    <xf numFmtId="177" fontId="13" fillId="0" borderId="0" xfId="0" applyNumberFormat="1" applyFont="1" applyAlignment="1">
      <alignment vertical="center"/>
    </xf>
    <xf numFmtId="177" fontId="13" fillId="0" borderId="1" xfId="2" applyNumberFormat="1" applyFont="1" applyFill="1" applyBorder="1" applyAlignment="1">
      <alignment vertical="center"/>
    </xf>
    <xf numFmtId="0" fontId="14" fillId="0" borderId="0" xfId="0" applyFont="1" applyAlignment="1">
      <alignment vertical="center"/>
    </xf>
    <xf numFmtId="0" fontId="14" fillId="2" borderId="0" xfId="0" applyFont="1" applyFill="1" applyAlignment="1">
      <alignment vertical="center"/>
    </xf>
    <xf numFmtId="177" fontId="13" fillId="0" borderId="1" xfId="0" applyNumberFormat="1" applyFont="1" applyBorder="1" applyAlignment="1">
      <alignment vertical="center"/>
    </xf>
    <xf numFmtId="39" fontId="13" fillId="0" borderId="0" xfId="0" applyNumberFormat="1" applyFont="1" applyAlignment="1">
      <alignment vertical="center"/>
    </xf>
    <xf numFmtId="40" fontId="13" fillId="0" borderId="0" xfId="0" applyNumberFormat="1" applyFont="1" applyAlignment="1">
      <alignment vertical="center"/>
    </xf>
    <xf numFmtId="39" fontId="13" fillId="0" borderId="0" xfId="3" applyNumberFormat="1" applyFont="1" applyFill="1" applyAlignment="1">
      <alignment vertical="center"/>
    </xf>
    <xf numFmtId="177" fontId="13" fillId="2" borderId="0" xfId="0" applyNumberFormat="1" applyFont="1" applyFill="1" applyAlignment="1">
      <alignment vertical="center"/>
    </xf>
    <xf numFmtId="37" fontId="13" fillId="2" borderId="0" xfId="0" applyNumberFormat="1" applyFont="1" applyFill="1" applyAlignment="1">
      <alignment vertical="center"/>
    </xf>
    <xf numFmtId="37" fontId="15" fillId="2" borderId="0" xfId="0" applyNumberFormat="1" applyFont="1" applyFill="1" applyAlignment="1">
      <alignment vertical="center"/>
    </xf>
    <xf numFmtId="39" fontId="13" fillId="2" borderId="0" xfId="0" applyNumberFormat="1" applyFont="1" applyFill="1" applyAlignment="1">
      <alignment vertical="center"/>
    </xf>
    <xf numFmtId="37" fontId="13" fillId="0" borderId="0" xfId="0" applyNumberFormat="1" applyFont="1" applyAlignment="1">
      <alignment vertical="center"/>
    </xf>
    <xf numFmtId="37" fontId="13" fillId="2" borderId="0" xfId="0" applyNumberFormat="1" applyFont="1" applyFill="1" applyAlignment="1">
      <alignment horizontal="right" vertical="center"/>
    </xf>
    <xf numFmtId="37" fontId="15" fillId="0" borderId="0" xfId="0" applyNumberFormat="1" applyFont="1" applyAlignment="1">
      <alignment vertical="center"/>
    </xf>
    <xf numFmtId="38" fontId="13" fillId="2" borderId="0" xfId="2" applyFont="1" applyFill="1" applyAlignment="1">
      <alignment horizontal="right" vertical="center"/>
    </xf>
    <xf numFmtId="0" fontId="16" fillId="0" borderId="0" xfId="0" applyFont="1" applyAlignment="1">
      <alignment horizontal="left" vertical="center"/>
    </xf>
    <xf numFmtId="0" fontId="14" fillId="3" borderId="0" xfId="0" applyFont="1" applyFill="1" applyAlignment="1">
      <alignment horizontal="left" vertical="center"/>
    </xf>
    <xf numFmtId="37" fontId="13" fillId="3" borderId="0" xfId="0" applyNumberFormat="1" applyFont="1" applyFill="1" applyAlignment="1">
      <alignment vertical="center"/>
    </xf>
    <xf numFmtId="37" fontId="15" fillId="3" borderId="0" xfId="0" applyNumberFormat="1" applyFont="1" applyFill="1" applyAlignment="1">
      <alignment vertical="center"/>
    </xf>
    <xf numFmtId="37" fontId="13" fillId="0" borderId="0" xfId="0" applyNumberFormat="1" applyFont="1" applyAlignment="1">
      <alignment horizontal="right" vertical="center"/>
    </xf>
    <xf numFmtId="37" fontId="15" fillId="0" borderId="0" xfId="0" applyNumberFormat="1" applyFont="1" applyAlignment="1">
      <alignment horizontal="right" vertical="center"/>
    </xf>
    <xf numFmtId="37" fontId="15" fillId="2" borderId="0" xfId="0" applyNumberFormat="1" applyFont="1" applyFill="1" applyAlignment="1">
      <alignment horizontal="right" vertical="center"/>
    </xf>
    <xf numFmtId="37" fontId="13" fillId="0" borderId="0" xfId="2" applyNumberFormat="1" applyFont="1" applyAlignment="1">
      <alignment vertical="center"/>
    </xf>
    <xf numFmtId="0" fontId="8" fillId="0" borderId="0" xfId="0" applyFont="1" applyAlignment="1">
      <alignment vertical="center"/>
    </xf>
    <xf numFmtId="37" fontId="13" fillId="2" borderId="1" xfId="0" applyNumberFormat="1" applyFont="1" applyFill="1" applyBorder="1" applyAlignment="1">
      <alignment vertical="center"/>
    </xf>
    <xf numFmtId="177" fontId="13" fillId="0" borderId="1" xfId="2" applyNumberFormat="1" applyFont="1" applyFill="1" applyBorder="1" applyAlignment="1">
      <alignment horizontal="right" vertical="center"/>
    </xf>
    <xf numFmtId="0" fontId="14" fillId="0" borderId="2" xfId="0" applyFont="1" applyBorder="1" applyAlignment="1">
      <alignment horizontal="left" vertical="center"/>
    </xf>
    <xf numFmtId="37" fontId="13" fillId="0" borderId="2" xfId="2" applyNumberFormat="1" applyFont="1" applyFill="1" applyBorder="1" applyAlignment="1">
      <alignment vertical="center"/>
    </xf>
    <xf numFmtId="177" fontId="13" fillId="2" borderId="0" xfId="2" applyNumberFormat="1" applyFont="1" applyFill="1" applyAlignment="1">
      <alignment vertical="center"/>
    </xf>
    <xf numFmtId="37" fontId="15" fillId="2" borderId="1" xfId="0" applyNumberFormat="1" applyFont="1" applyFill="1" applyBorder="1" applyAlignment="1">
      <alignment vertical="center"/>
    </xf>
    <xf numFmtId="37" fontId="13" fillId="0" borderId="1" xfId="0" applyNumberFormat="1" applyFont="1" applyBorder="1" applyAlignment="1">
      <alignment vertical="center"/>
    </xf>
    <xf numFmtId="37" fontId="15" fillId="0" borderId="1" xfId="0" applyNumberFormat="1" applyFont="1" applyBorder="1" applyAlignment="1">
      <alignment vertical="center"/>
    </xf>
    <xf numFmtId="0" fontId="16" fillId="0" borderId="0" xfId="0" applyFont="1" applyAlignment="1">
      <alignment vertical="center"/>
    </xf>
    <xf numFmtId="37" fontId="13" fillId="0" borderId="0" xfId="2" applyNumberFormat="1" applyFont="1" applyFill="1" applyBorder="1" applyAlignment="1">
      <alignment vertical="center"/>
    </xf>
    <xf numFmtId="37" fontId="13" fillId="3" borderId="0" xfId="0" applyNumberFormat="1" applyFont="1" applyFill="1" applyAlignment="1">
      <alignment horizontal="right" vertical="center"/>
    </xf>
    <xf numFmtId="37" fontId="13" fillId="3" borderId="0" xfId="2" applyNumberFormat="1" applyFont="1" applyFill="1" applyAlignment="1">
      <alignment horizontal="right" vertical="center"/>
    </xf>
    <xf numFmtId="37" fontId="15" fillId="3" borderId="0" xfId="2" applyNumberFormat="1" applyFont="1" applyFill="1" applyAlignment="1">
      <alignment horizontal="right" vertical="center"/>
    </xf>
    <xf numFmtId="38" fontId="13" fillId="0" borderId="0" xfId="2" applyFont="1" applyFill="1" applyAlignment="1">
      <alignment horizontal="right" vertical="center"/>
    </xf>
    <xf numFmtId="177" fontId="13" fillId="0" borderId="2" xfId="2" applyNumberFormat="1" applyFont="1" applyFill="1" applyBorder="1" applyAlignment="1">
      <alignment vertical="center"/>
    </xf>
    <xf numFmtId="0" fontId="19" fillId="0" borderId="2" xfId="0" applyFont="1" applyBorder="1" applyAlignment="1">
      <alignment horizontal="left" vertical="center"/>
    </xf>
    <xf numFmtId="176" fontId="13" fillId="0" borderId="2" xfId="0" applyNumberFormat="1" applyFont="1" applyBorder="1" applyAlignment="1">
      <alignment vertical="center"/>
    </xf>
    <xf numFmtId="176" fontId="15" fillId="0" borderId="2" xfId="0" applyNumberFormat="1" applyFont="1" applyBorder="1" applyAlignment="1">
      <alignment vertical="center"/>
    </xf>
    <xf numFmtId="0" fontId="14" fillId="2" borderId="2" xfId="0" applyFont="1" applyFill="1" applyBorder="1" applyAlignment="1">
      <alignment horizontal="left" vertical="center"/>
    </xf>
    <xf numFmtId="178" fontId="13" fillId="2" borderId="2" xfId="1" applyNumberFormat="1" applyFont="1" applyFill="1" applyBorder="1" applyAlignment="1">
      <alignment vertical="center"/>
    </xf>
    <xf numFmtId="37" fontId="13" fillId="0" borderId="2" xfId="0" applyNumberFormat="1" applyFont="1" applyBorder="1" applyAlignment="1">
      <alignment vertical="center"/>
    </xf>
    <xf numFmtId="0" fontId="20" fillId="0" borderId="0" xfId="0" applyFont="1" applyAlignment="1">
      <alignment vertical="center"/>
    </xf>
    <xf numFmtId="0" fontId="10" fillId="0" borderId="0" xfId="0" applyFont="1" applyAlignment="1">
      <alignment horizontal="left"/>
    </xf>
    <xf numFmtId="38" fontId="13" fillId="0" borderId="0" xfId="2" applyFont="1" applyFill="1" applyAlignment="1">
      <alignment vertical="center"/>
    </xf>
    <xf numFmtId="38" fontId="13" fillId="2" borderId="0" xfId="2" applyFont="1" applyFill="1" applyAlignment="1">
      <alignment vertical="center"/>
    </xf>
    <xf numFmtId="178" fontId="13" fillId="2" borderId="0" xfId="1" applyNumberFormat="1" applyFont="1" applyFill="1" applyBorder="1" applyAlignment="1">
      <alignment vertical="center"/>
    </xf>
    <xf numFmtId="178" fontId="15" fillId="2" borderId="0" xfId="1" applyNumberFormat="1" applyFont="1" applyFill="1" applyBorder="1" applyAlignment="1">
      <alignment vertical="center"/>
    </xf>
    <xf numFmtId="178" fontId="13" fillId="0" borderId="0" xfId="1" applyNumberFormat="1" applyFont="1" applyFill="1" applyBorder="1" applyAlignment="1">
      <alignment vertical="center"/>
    </xf>
    <xf numFmtId="178" fontId="15" fillId="0" borderId="0" xfId="1" applyNumberFormat="1" applyFont="1" applyFill="1" applyBorder="1" applyAlignment="1">
      <alignment vertical="center"/>
    </xf>
    <xf numFmtId="0" fontId="14" fillId="0" borderId="0" xfId="0" applyFont="1" applyAlignment="1">
      <alignment horizontal="left" vertical="center" shrinkToFit="1"/>
    </xf>
    <xf numFmtId="177" fontId="13" fillId="3" borderId="2" xfId="0" applyNumberFormat="1" applyFont="1" applyFill="1" applyBorder="1" applyAlignment="1">
      <alignment horizontal="right" vertical="center"/>
    </xf>
    <xf numFmtId="0" fontId="14" fillId="0" borderId="2" xfId="0" applyFont="1" applyBorder="1" applyAlignment="1">
      <alignment vertical="center"/>
    </xf>
    <xf numFmtId="0" fontId="10" fillId="0" borderId="0" xfId="0" applyFont="1" applyAlignment="1">
      <alignment vertical="center"/>
    </xf>
    <xf numFmtId="0" fontId="22" fillId="0" borderId="0" xfId="0" applyFont="1" applyAlignment="1">
      <alignment horizontal="right" vertical="center"/>
    </xf>
    <xf numFmtId="0" fontId="10" fillId="0" borderId="0" xfId="0" applyFont="1" applyAlignment="1">
      <alignment horizontal="right" vertical="center"/>
    </xf>
    <xf numFmtId="0" fontId="23" fillId="0" borderId="0" xfId="0" applyFont="1" applyAlignment="1">
      <alignment vertical="center"/>
    </xf>
    <xf numFmtId="0" fontId="14" fillId="2" borderId="2" xfId="0" applyFont="1" applyFill="1" applyBorder="1" applyAlignment="1">
      <alignment vertical="center"/>
    </xf>
    <xf numFmtId="0" fontId="22" fillId="0" borderId="0" xfId="0" applyFont="1" applyAlignment="1">
      <alignment vertical="center"/>
    </xf>
    <xf numFmtId="0" fontId="14" fillId="0" borderId="0" xfId="0" applyFont="1" applyAlignment="1">
      <alignment horizontal="center" vertical="center"/>
    </xf>
    <xf numFmtId="0" fontId="14" fillId="0" borderId="2" xfId="0" applyFont="1" applyBorder="1" applyAlignment="1">
      <alignment horizontal="center" vertical="center"/>
    </xf>
    <xf numFmtId="37" fontId="15" fillId="0" borderId="2" xfId="0" applyNumberFormat="1" applyFont="1" applyBorder="1" applyAlignment="1">
      <alignment vertical="center"/>
    </xf>
    <xf numFmtId="37" fontId="15" fillId="0" borderId="0" xfId="2" applyNumberFormat="1" applyFont="1" applyFill="1" applyAlignment="1">
      <alignment horizontal="right" vertical="center"/>
    </xf>
    <xf numFmtId="0" fontId="12" fillId="0" borderId="0" xfId="0" applyFont="1" applyAlignment="1">
      <alignment vertical="center" wrapText="1"/>
    </xf>
    <xf numFmtId="0" fontId="26" fillId="0" borderId="0" xfId="0" applyFont="1"/>
    <xf numFmtId="0" fontId="2" fillId="0" borderId="0" xfId="0" applyFont="1"/>
    <xf numFmtId="0" fontId="28" fillId="0" borderId="0" xfId="0" applyFont="1"/>
    <xf numFmtId="0" fontId="15" fillId="0" borderId="0" xfId="0" applyFont="1" applyAlignment="1">
      <alignment horizontal="right" vertical="center"/>
    </xf>
    <xf numFmtId="0" fontId="7" fillId="0" borderId="0" xfId="0" applyFont="1"/>
    <xf numFmtId="0" fontId="20" fillId="0" borderId="0" xfId="0" applyFont="1"/>
    <xf numFmtId="0" fontId="27" fillId="0" borderId="0" xfId="0" applyFont="1"/>
    <xf numFmtId="0" fontId="15" fillId="0" borderId="0" xfId="0" applyFont="1" applyAlignment="1">
      <alignment vertical="center"/>
    </xf>
    <xf numFmtId="37" fontId="13" fillId="4" borderId="0" xfId="2" applyNumberFormat="1" applyFont="1" applyFill="1" applyAlignment="1">
      <alignment vertical="center"/>
    </xf>
    <xf numFmtId="39" fontId="13" fillId="4" borderId="0" xfId="2" applyNumberFormat="1" applyFont="1" applyFill="1" applyAlignment="1">
      <alignment vertical="center"/>
    </xf>
    <xf numFmtId="177" fontId="13" fillId="4" borderId="0" xfId="2" applyNumberFormat="1" applyFont="1" applyFill="1" applyAlignment="1">
      <alignment vertical="center"/>
    </xf>
    <xf numFmtId="37" fontId="13" fillId="4" borderId="0" xfId="0" applyNumberFormat="1" applyFont="1" applyFill="1" applyAlignment="1">
      <alignment vertical="center"/>
    </xf>
    <xf numFmtId="37" fontId="13" fillId="4" borderId="0" xfId="2" applyNumberFormat="1" applyFont="1" applyFill="1" applyAlignment="1">
      <alignment horizontal="right" vertical="center"/>
    </xf>
    <xf numFmtId="37" fontId="13" fillId="4" borderId="1" xfId="0" applyNumberFormat="1" applyFont="1" applyFill="1" applyBorder="1" applyAlignment="1">
      <alignment vertical="center"/>
    </xf>
    <xf numFmtId="0" fontId="29" fillId="0" borderId="0" xfId="0" applyFont="1"/>
    <xf numFmtId="0" fontId="5" fillId="0" borderId="0" xfId="0" applyFont="1"/>
    <xf numFmtId="0" fontId="5" fillId="0" borderId="0" xfId="0" applyFont="1" applyAlignment="1">
      <alignment horizontal="left"/>
    </xf>
    <xf numFmtId="14" fontId="5" fillId="0" borderId="0" xfId="0" applyNumberFormat="1" applyFont="1" applyAlignment="1">
      <alignment horizontal="right"/>
    </xf>
    <xf numFmtId="0" fontId="5" fillId="0" borderId="0" xfId="0" applyFont="1" applyAlignment="1">
      <alignment horizontal="right"/>
    </xf>
    <xf numFmtId="0" fontId="34" fillId="0" borderId="0" xfId="0" applyFont="1"/>
    <xf numFmtId="0" fontId="22" fillId="0" borderId="0" xfId="0" applyFont="1" applyAlignment="1">
      <alignment vertical="center" wrapText="1"/>
    </xf>
    <xf numFmtId="0" fontId="35" fillId="0" borderId="0" xfId="0" applyFont="1"/>
    <xf numFmtId="0" fontId="15" fillId="0" borderId="2" xfId="0" applyFont="1" applyBorder="1" applyAlignment="1">
      <alignment vertical="center"/>
    </xf>
    <xf numFmtId="37" fontId="15" fillId="5" borderId="0" xfId="0" applyNumberFormat="1" applyFont="1" applyFill="1" applyAlignment="1">
      <alignment vertical="center"/>
    </xf>
    <xf numFmtId="37" fontId="15" fillId="5" borderId="0" xfId="2" applyNumberFormat="1" applyFont="1" applyFill="1" applyAlignment="1">
      <alignment horizontal="right" vertical="center"/>
    </xf>
    <xf numFmtId="37" fontId="15" fillId="5" borderId="0" xfId="0" applyNumberFormat="1" applyFont="1" applyFill="1" applyAlignment="1">
      <alignment horizontal="right" vertical="center"/>
    </xf>
    <xf numFmtId="38" fontId="15" fillId="0" borderId="0" xfId="2" applyFont="1" applyFill="1" applyAlignment="1">
      <alignment vertical="center"/>
    </xf>
    <xf numFmtId="38" fontId="15" fillId="2" borderId="0" xfId="2" applyFont="1" applyFill="1" applyAlignment="1">
      <alignment vertical="center"/>
    </xf>
    <xf numFmtId="37" fontId="15" fillId="2" borderId="0" xfId="2" applyNumberFormat="1" applyFont="1" applyFill="1" applyAlignment="1">
      <alignment horizontal="right" vertical="center"/>
    </xf>
    <xf numFmtId="37" fontId="15" fillId="2" borderId="1" xfId="2" applyNumberFormat="1" applyFont="1" applyFill="1" applyBorder="1" applyAlignment="1">
      <alignment vertical="center"/>
    </xf>
    <xf numFmtId="39" fontId="15" fillId="2" borderId="0" xfId="2" applyNumberFormat="1" applyFont="1" applyFill="1" applyAlignment="1">
      <alignment vertical="center"/>
    </xf>
    <xf numFmtId="39" fontId="15" fillId="0" borderId="0" xfId="2" applyNumberFormat="1" applyFont="1" applyFill="1" applyAlignment="1">
      <alignment vertical="center"/>
    </xf>
    <xf numFmtId="37" fontId="15" fillId="0" borderId="0" xfId="2" applyNumberFormat="1" applyFont="1" applyFill="1" applyBorder="1" applyAlignment="1">
      <alignment vertical="center"/>
    </xf>
    <xf numFmtId="177" fontId="15" fillId="0" borderId="1" xfId="2" applyNumberFormat="1" applyFont="1" applyFill="1" applyBorder="1" applyAlignment="1">
      <alignment horizontal="right" vertical="center"/>
    </xf>
    <xf numFmtId="37" fontId="15" fillId="0" borderId="1" xfId="2" applyNumberFormat="1" applyFont="1" applyFill="1" applyBorder="1" applyAlignment="1">
      <alignment vertical="center"/>
    </xf>
    <xf numFmtId="177" fontId="15" fillId="2" borderId="0" xfId="2" applyNumberFormat="1" applyFont="1" applyFill="1" applyAlignment="1">
      <alignment vertical="center"/>
    </xf>
    <xf numFmtId="37" fontId="15" fillId="0" borderId="2" xfId="2" applyNumberFormat="1" applyFont="1" applyFill="1" applyBorder="1" applyAlignment="1">
      <alignment vertical="center"/>
    </xf>
    <xf numFmtId="0" fontId="32" fillId="0" borderId="0" xfId="0" applyFont="1" applyAlignment="1">
      <alignment vertical="center"/>
    </xf>
    <xf numFmtId="38" fontId="13" fillId="4" borderId="0" xfId="2" applyFont="1" applyFill="1" applyAlignment="1">
      <alignment horizontal="right" vertical="center"/>
    </xf>
    <xf numFmtId="0" fontId="33" fillId="0" borderId="0" xfId="0" applyFont="1" applyAlignment="1">
      <alignment vertical="center"/>
    </xf>
    <xf numFmtId="0" fontId="6" fillId="0" borderId="0" xfId="0" applyFont="1" applyAlignment="1">
      <alignment horizontal="left" vertical="center"/>
    </xf>
    <xf numFmtId="0" fontId="14" fillId="4" borderId="0" xfId="0" applyFont="1" applyFill="1" applyAlignment="1">
      <alignment horizontal="left" vertical="center" shrinkToFit="1"/>
    </xf>
    <xf numFmtId="0" fontId="14" fillId="4" borderId="0" xfId="0" applyFont="1" applyFill="1" applyAlignment="1">
      <alignment horizontal="left" vertical="center"/>
    </xf>
    <xf numFmtId="37" fontId="13" fillId="4" borderId="1" xfId="2" applyNumberFormat="1" applyFont="1" applyFill="1" applyBorder="1" applyAlignment="1">
      <alignment vertical="center"/>
    </xf>
    <xf numFmtId="37" fontId="13" fillId="4" borderId="0" xfId="0" applyNumberFormat="1" applyFont="1" applyFill="1" applyAlignment="1">
      <alignment horizontal="right" vertical="center"/>
    </xf>
    <xf numFmtId="0" fontId="13" fillId="0" borderId="2" xfId="0" applyFont="1" applyBorder="1" applyAlignment="1">
      <alignment vertical="center"/>
    </xf>
    <xf numFmtId="0" fontId="7" fillId="4" borderId="0" xfId="0" applyFont="1" applyFill="1" applyAlignment="1">
      <alignment vertical="center"/>
    </xf>
    <xf numFmtId="3" fontId="13" fillId="0" borderId="0" xfId="2" applyNumberFormat="1" applyFont="1" applyFill="1" applyAlignment="1">
      <alignment horizontal="right" vertical="center"/>
    </xf>
    <xf numFmtId="0" fontId="14" fillId="4" borderId="2" xfId="0" applyFont="1" applyFill="1" applyBorder="1" applyAlignment="1">
      <alignment horizontal="left" vertical="center"/>
    </xf>
    <xf numFmtId="37" fontId="13" fillId="4" borderId="2" xfId="0" applyNumberFormat="1" applyFont="1" applyFill="1" applyBorder="1" applyAlignment="1">
      <alignment horizontal="right" vertical="center"/>
    </xf>
    <xf numFmtId="0" fontId="36" fillId="0" borderId="0" xfId="0" applyFont="1"/>
    <xf numFmtId="37" fontId="13" fillId="4" borderId="2" xfId="0" applyNumberFormat="1" applyFont="1" applyFill="1" applyBorder="1" applyAlignment="1">
      <alignment vertical="center"/>
    </xf>
    <xf numFmtId="0" fontId="37" fillId="0" borderId="0" xfId="0" applyFont="1" applyAlignment="1">
      <alignment vertical="center"/>
    </xf>
    <xf numFmtId="0" fontId="13" fillId="0" borderId="2" xfId="0" applyFont="1" applyBorder="1" applyAlignment="1">
      <alignment horizontal="right" vertical="center"/>
    </xf>
    <xf numFmtId="0" fontId="5" fillId="0" borderId="2" xfId="0" applyFont="1" applyBorder="1" applyAlignment="1">
      <alignment horizontal="right" vertical="center"/>
    </xf>
    <xf numFmtId="0" fontId="7" fillId="0" borderId="0" xfId="0" applyFont="1" applyAlignment="1">
      <alignment horizontal="right" vertical="center"/>
    </xf>
    <xf numFmtId="0" fontId="15" fillId="0" borderId="2" xfId="0" applyFont="1" applyBorder="1" applyAlignment="1">
      <alignment horizontal="right" vertical="center"/>
    </xf>
    <xf numFmtId="3" fontId="13" fillId="4" borderId="0" xfId="0" applyNumberFormat="1" applyFont="1" applyFill="1" applyAlignment="1">
      <alignment horizontal="right" vertical="center"/>
    </xf>
    <xf numFmtId="37" fontId="39" fillId="0" borderId="0" xfId="0" applyNumberFormat="1" applyFont="1" applyAlignment="1">
      <alignment horizontal="right" vertical="center"/>
    </xf>
    <xf numFmtId="0" fontId="13" fillId="0" borderId="0" xfId="0" applyFont="1" applyAlignment="1">
      <alignment horizontal="right" vertical="center"/>
    </xf>
    <xf numFmtId="179" fontId="13" fillId="0" borderId="1" xfId="0" applyNumberFormat="1" applyFont="1" applyBorder="1" applyAlignment="1">
      <alignment horizontal="right" vertical="center"/>
    </xf>
    <xf numFmtId="37" fontId="13" fillId="4" borderId="1" xfId="2" applyNumberFormat="1" applyFont="1" applyFill="1" applyBorder="1" applyAlignment="1">
      <alignment horizontal="right" vertical="center"/>
    </xf>
    <xf numFmtId="39" fontId="13" fillId="4" borderId="0" xfId="2" applyNumberFormat="1" applyFont="1" applyFill="1" applyAlignment="1">
      <alignment horizontal="right" vertical="center"/>
    </xf>
    <xf numFmtId="39" fontId="13" fillId="0" borderId="0" xfId="2" applyNumberFormat="1" applyFont="1" applyFill="1" applyAlignment="1">
      <alignment horizontal="right" vertical="center"/>
    </xf>
    <xf numFmtId="37" fontId="13" fillId="0" borderId="1" xfId="2" applyNumberFormat="1" applyFont="1" applyFill="1" applyBorder="1" applyAlignment="1">
      <alignment horizontal="right" vertical="center"/>
    </xf>
    <xf numFmtId="37" fontId="13" fillId="4" borderId="1" xfId="0" applyNumberFormat="1" applyFont="1" applyFill="1" applyBorder="1" applyAlignment="1">
      <alignment horizontal="right" vertical="center"/>
    </xf>
    <xf numFmtId="37" fontId="13" fillId="0" borderId="3" xfId="0" applyNumberFormat="1" applyFont="1" applyBorder="1" applyAlignment="1">
      <alignment vertical="center"/>
    </xf>
    <xf numFmtId="37" fontId="13" fillId="0" borderId="3" xfId="0" applyNumberFormat="1" applyFont="1" applyBorder="1" applyAlignment="1">
      <alignment horizontal="right" vertical="center"/>
    </xf>
    <xf numFmtId="38" fontId="17" fillId="4" borderId="0" xfId="2" applyFont="1" applyFill="1" applyAlignment="1">
      <alignment horizontal="right" vertical="center"/>
    </xf>
    <xf numFmtId="0" fontId="13" fillId="4" borderId="0" xfId="0" applyFont="1" applyFill="1" applyAlignment="1">
      <alignment vertical="center"/>
    </xf>
    <xf numFmtId="0" fontId="13" fillId="0" borderId="1" xfId="0" applyFont="1" applyBorder="1" applyAlignment="1">
      <alignment vertical="center"/>
    </xf>
    <xf numFmtId="38" fontId="13" fillId="4" borderId="0" xfId="2" applyFont="1" applyFill="1" applyAlignment="1">
      <alignment vertical="center"/>
    </xf>
    <xf numFmtId="2" fontId="13" fillId="4" borderId="0" xfId="0" applyNumberFormat="1" applyFont="1" applyFill="1" applyAlignment="1">
      <alignment vertical="center"/>
    </xf>
    <xf numFmtId="0" fontId="13" fillId="4" borderId="2" xfId="0" applyFont="1" applyFill="1" applyBorder="1" applyAlignment="1">
      <alignment vertical="center"/>
    </xf>
    <xf numFmtId="0" fontId="14" fillId="5" borderId="0" xfId="0" applyFont="1" applyFill="1" applyAlignment="1">
      <alignment horizontal="left" vertical="center"/>
    </xf>
    <xf numFmtId="0" fontId="14" fillId="6" borderId="0" xfId="0" applyFont="1" applyFill="1" applyAlignment="1">
      <alignment horizontal="left" vertical="center"/>
    </xf>
    <xf numFmtId="37" fontId="13" fillId="6" borderId="0" xfId="0" applyNumberFormat="1" applyFont="1" applyFill="1" applyAlignment="1">
      <alignment vertical="center"/>
    </xf>
    <xf numFmtId="37" fontId="39" fillId="6" borderId="0" xfId="0" applyNumberFormat="1" applyFont="1" applyFill="1" applyAlignment="1">
      <alignment horizontal="right" vertical="center"/>
    </xf>
    <xf numFmtId="37" fontId="13" fillId="6" borderId="0" xfId="0" applyNumberFormat="1" applyFont="1" applyFill="1" applyAlignment="1">
      <alignment horizontal="right" vertical="center"/>
    </xf>
    <xf numFmtId="38" fontId="13" fillId="6" borderId="0" xfId="2" applyFont="1" applyFill="1" applyAlignment="1">
      <alignment horizontal="right" vertical="center"/>
    </xf>
    <xf numFmtId="37" fontId="13" fillId="0" borderId="1" xfId="0" applyNumberFormat="1" applyFont="1" applyBorder="1" applyAlignment="1">
      <alignment horizontal="right" vertical="center"/>
    </xf>
    <xf numFmtId="37" fontId="15" fillId="4" borderId="0" xfId="2" applyNumberFormat="1" applyFont="1" applyFill="1" applyAlignment="1">
      <alignment horizontal="right" vertical="center"/>
    </xf>
    <xf numFmtId="38" fontId="15" fillId="2" borderId="0" xfId="2" applyFont="1" applyFill="1" applyAlignment="1">
      <alignment horizontal="right" vertical="center"/>
    </xf>
    <xf numFmtId="38" fontId="15" fillId="0" borderId="0" xfId="2" applyFont="1" applyFill="1" applyAlignment="1">
      <alignment horizontal="right" vertical="center"/>
    </xf>
    <xf numFmtId="37" fontId="40" fillId="0" borderId="0" xfId="2" applyNumberFormat="1" applyFont="1" applyFill="1" applyAlignment="1">
      <alignment horizontal="right" vertical="center"/>
    </xf>
    <xf numFmtId="38" fontId="15" fillId="4" borderId="0" xfId="2" applyFont="1" applyFill="1" applyAlignment="1">
      <alignment horizontal="right" vertical="center"/>
    </xf>
    <xf numFmtId="37" fontId="15" fillId="4" borderId="1" xfId="2" applyNumberFormat="1" applyFont="1" applyFill="1" applyBorder="1" applyAlignment="1">
      <alignment horizontal="right" vertical="center"/>
    </xf>
    <xf numFmtId="39" fontId="15" fillId="4" borderId="0" xfId="2" applyNumberFormat="1" applyFont="1" applyFill="1" applyAlignment="1">
      <alignment horizontal="right" vertical="center"/>
    </xf>
    <xf numFmtId="39" fontId="15" fillId="0" borderId="0" xfId="2" applyNumberFormat="1" applyFont="1" applyFill="1" applyAlignment="1">
      <alignment horizontal="right" vertical="center"/>
    </xf>
    <xf numFmtId="37" fontId="15" fillId="0" borderId="1" xfId="2" applyNumberFormat="1" applyFont="1" applyFill="1" applyBorder="1" applyAlignment="1">
      <alignment horizontal="right" vertical="center"/>
    </xf>
    <xf numFmtId="0" fontId="5" fillId="0" borderId="0" xfId="0" applyFont="1" applyAlignment="1">
      <alignment horizontal="right" vertical="center"/>
    </xf>
    <xf numFmtId="38" fontId="15" fillId="4" borderId="0" xfId="2" applyFont="1" applyFill="1" applyAlignment="1">
      <alignment vertical="center"/>
    </xf>
    <xf numFmtId="37" fontId="15" fillId="4" borderId="0" xfId="0" applyNumberFormat="1" applyFont="1" applyFill="1" applyAlignment="1">
      <alignment horizontal="right" vertical="center"/>
    </xf>
    <xf numFmtId="37" fontId="15" fillId="4" borderId="1" xfId="0" applyNumberFormat="1" applyFont="1" applyFill="1" applyBorder="1" applyAlignment="1">
      <alignment horizontal="right" vertical="center"/>
    </xf>
    <xf numFmtId="37" fontId="15" fillId="4" borderId="2" xfId="0" applyNumberFormat="1" applyFont="1" applyFill="1" applyBorder="1" applyAlignment="1">
      <alignment horizontal="right" vertical="center"/>
    </xf>
    <xf numFmtId="37" fontId="15" fillId="6" borderId="0" xfId="0" applyNumberFormat="1" applyFont="1" applyFill="1" applyAlignment="1">
      <alignment horizontal="right" vertical="center"/>
    </xf>
    <xf numFmtId="37" fontId="15" fillId="0" borderId="3" xfId="0" applyNumberFormat="1" applyFont="1" applyBorder="1" applyAlignment="1">
      <alignment horizontal="right" vertical="center"/>
    </xf>
    <xf numFmtId="0" fontId="41" fillId="0" borderId="0" xfId="0" applyFont="1" applyAlignment="1">
      <alignment vertical="center"/>
    </xf>
    <xf numFmtId="37" fontId="42" fillId="6" borderId="0" xfId="0" applyNumberFormat="1" applyFont="1" applyFill="1" applyAlignment="1">
      <alignment horizontal="right" vertical="center"/>
    </xf>
    <xf numFmtId="37" fontId="15" fillId="0" borderId="1" xfId="0" applyNumberFormat="1" applyFont="1" applyBorder="1" applyAlignment="1">
      <alignment horizontal="right" vertical="center"/>
    </xf>
    <xf numFmtId="37" fontId="15" fillId="3" borderId="0" xfId="0" applyNumberFormat="1" applyFont="1" applyFill="1" applyAlignment="1">
      <alignment horizontal="right" vertical="center"/>
    </xf>
    <xf numFmtId="178" fontId="15" fillId="2" borderId="2" xfId="1" applyNumberFormat="1" applyFont="1" applyFill="1" applyBorder="1" applyAlignment="1">
      <alignment vertical="center"/>
    </xf>
    <xf numFmtId="37" fontId="13" fillId="0" borderId="0" xfId="2" applyNumberFormat="1" applyFont="1" applyFill="1" applyBorder="1" applyAlignment="1">
      <alignment horizontal="right" vertical="center"/>
    </xf>
    <xf numFmtId="0" fontId="14" fillId="7" borderId="0" xfId="0" applyFont="1" applyFill="1" applyAlignment="1">
      <alignment horizontal="left" vertical="center"/>
    </xf>
    <xf numFmtId="37" fontId="13" fillId="7" borderId="0" xfId="0" applyNumberFormat="1" applyFont="1" applyFill="1" applyAlignment="1">
      <alignment vertical="center"/>
    </xf>
    <xf numFmtId="37" fontId="13" fillId="7" borderId="0" xfId="0" applyNumberFormat="1" applyFont="1" applyFill="1" applyAlignment="1">
      <alignment horizontal="right" vertical="center"/>
    </xf>
    <xf numFmtId="37" fontId="15" fillId="7" borderId="0" xfId="0" applyNumberFormat="1" applyFont="1" applyFill="1" applyAlignment="1">
      <alignment horizontal="right" vertical="center"/>
    </xf>
    <xf numFmtId="0" fontId="7" fillId="7" borderId="0" xfId="0" applyFont="1" applyFill="1" applyAlignment="1">
      <alignment vertical="center"/>
    </xf>
    <xf numFmtId="37" fontId="13" fillId="7" borderId="0" xfId="2" applyNumberFormat="1" applyFont="1" applyFill="1" applyAlignment="1">
      <alignment horizontal="right" vertical="center"/>
    </xf>
    <xf numFmtId="37" fontId="15" fillId="7" borderId="0" xfId="2" applyNumberFormat="1" applyFont="1" applyFill="1" applyAlignment="1">
      <alignment horizontal="right" vertical="center"/>
    </xf>
    <xf numFmtId="37" fontId="13" fillId="7" borderId="0" xfId="2" applyNumberFormat="1" applyFont="1" applyFill="1" applyAlignment="1">
      <alignment vertical="center"/>
    </xf>
    <xf numFmtId="0" fontId="14" fillId="4" borderId="0" xfId="0" applyFont="1" applyFill="1" applyAlignment="1">
      <alignment vertical="center"/>
    </xf>
    <xf numFmtId="0" fontId="10" fillId="0" borderId="0" xfId="0" applyFont="1" applyAlignment="1">
      <alignment vertical="center" wrapText="1"/>
    </xf>
    <xf numFmtId="0" fontId="7" fillId="0" borderId="2" xfId="0" applyFont="1" applyBorder="1" applyAlignment="1">
      <alignment horizontal="right" vertical="center"/>
    </xf>
    <xf numFmtId="3" fontId="13" fillId="0" borderId="0" xfId="0" applyNumberFormat="1" applyFont="1" applyAlignment="1">
      <alignment horizontal="right" vertical="center"/>
    </xf>
    <xf numFmtId="0" fontId="13" fillId="0" borderId="1" xfId="0" applyFont="1" applyBorder="1" applyAlignment="1">
      <alignment horizontal="right" vertical="center"/>
    </xf>
    <xf numFmtId="2" fontId="13" fillId="0" borderId="0" xfId="0" applyNumberFormat="1" applyFont="1" applyAlignment="1">
      <alignment vertical="center"/>
    </xf>
    <xf numFmtId="178" fontId="13" fillId="0" borderId="0" xfId="0" applyNumberFormat="1" applyFont="1" applyAlignment="1">
      <alignment horizontal="right" vertical="center"/>
    </xf>
    <xf numFmtId="178" fontId="13" fillId="0" borderId="2" xfId="0" applyNumberFormat="1" applyFont="1" applyBorder="1" applyAlignment="1">
      <alignment horizontal="right" vertical="center"/>
    </xf>
    <xf numFmtId="37" fontId="13" fillId="4" borderId="2" xfId="2" applyNumberFormat="1" applyFont="1" applyFill="1" applyBorder="1" applyAlignment="1">
      <alignment vertical="center"/>
    </xf>
    <xf numFmtId="37" fontId="13" fillId="4" borderId="2" xfId="2" applyNumberFormat="1" applyFont="1" applyFill="1" applyBorder="1" applyAlignment="1">
      <alignment horizontal="right" vertical="center"/>
    </xf>
    <xf numFmtId="37" fontId="15" fillId="4" borderId="2" xfId="2" applyNumberFormat="1" applyFont="1" applyFill="1" applyBorder="1" applyAlignment="1">
      <alignment horizontal="right" vertical="center"/>
    </xf>
    <xf numFmtId="3" fontId="15" fillId="0" borderId="0" xfId="0" applyNumberFormat="1" applyFont="1" applyAlignment="1">
      <alignment horizontal="right" vertical="center"/>
    </xf>
    <xf numFmtId="3" fontId="15" fillId="4" borderId="0" xfId="0" applyNumberFormat="1" applyFont="1" applyFill="1" applyAlignment="1">
      <alignment horizontal="right" vertical="center"/>
    </xf>
    <xf numFmtId="178" fontId="15" fillId="0" borderId="0" xfId="0" applyNumberFormat="1" applyFont="1" applyAlignment="1">
      <alignment horizontal="right" vertical="center"/>
    </xf>
    <xf numFmtId="178" fontId="15" fillId="0" borderId="2" xfId="0" applyNumberFormat="1" applyFont="1" applyBorder="1" applyAlignment="1">
      <alignment horizontal="right" vertical="center"/>
    </xf>
    <xf numFmtId="180" fontId="15" fillId="0" borderId="1" xfId="0" applyNumberFormat="1" applyFont="1" applyBorder="1" applyAlignment="1">
      <alignment vertical="center"/>
    </xf>
    <xf numFmtId="181" fontId="15" fillId="4" borderId="2" xfId="0" applyNumberFormat="1" applyFont="1" applyFill="1" applyBorder="1" applyAlignment="1">
      <alignment vertical="center"/>
    </xf>
    <xf numFmtId="37" fontId="13" fillId="4" borderId="0" xfId="2" applyNumberFormat="1" applyFont="1" applyFill="1" applyAlignment="1" applyProtection="1">
      <alignment horizontal="right" vertical="center"/>
      <protection locked="0"/>
    </xf>
    <xf numFmtId="37" fontId="15" fillId="4" borderId="0" xfId="2" applyNumberFormat="1" applyFont="1" applyFill="1" applyAlignment="1" applyProtection="1">
      <alignment horizontal="right" vertical="center"/>
      <protection locked="0"/>
    </xf>
    <xf numFmtId="0" fontId="43" fillId="0" borderId="0" xfId="0" applyFont="1" applyAlignment="1">
      <alignment vertical="center"/>
    </xf>
    <xf numFmtId="0" fontId="43" fillId="0" borderId="2" xfId="0" applyFont="1" applyBorder="1" applyAlignment="1">
      <alignment horizontal="right" vertical="center"/>
    </xf>
    <xf numFmtId="37" fontId="44" fillId="0" borderId="0" xfId="2" applyNumberFormat="1" applyFont="1" applyFill="1" applyAlignment="1">
      <alignment horizontal="right" vertical="center"/>
    </xf>
    <xf numFmtId="37" fontId="44" fillId="4" borderId="0" xfId="2" applyNumberFormat="1" applyFont="1" applyFill="1" applyAlignment="1">
      <alignment horizontal="right" vertical="center"/>
    </xf>
    <xf numFmtId="38" fontId="44" fillId="2" borderId="0" xfId="2" applyFont="1" applyFill="1" applyAlignment="1">
      <alignment horizontal="right" vertical="center"/>
    </xf>
    <xf numFmtId="38" fontId="44" fillId="0" borderId="0" xfId="2" applyFont="1" applyFill="1" applyAlignment="1">
      <alignment horizontal="right" vertical="center"/>
    </xf>
    <xf numFmtId="38" fontId="44" fillId="4" borderId="0" xfId="2" applyFont="1" applyFill="1" applyAlignment="1">
      <alignment horizontal="right" vertical="center"/>
    </xf>
    <xf numFmtId="37" fontId="44" fillId="4" borderId="1" xfId="2" applyNumberFormat="1" applyFont="1" applyFill="1" applyBorder="1" applyAlignment="1">
      <alignment horizontal="right" vertical="center"/>
    </xf>
    <xf numFmtId="39" fontId="44" fillId="4" borderId="0" xfId="2" applyNumberFormat="1" applyFont="1" applyFill="1" applyAlignment="1">
      <alignment horizontal="right" vertical="center"/>
    </xf>
    <xf numFmtId="39" fontId="44" fillId="0" borderId="0" xfId="2" applyNumberFormat="1" applyFont="1" applyFill="1" applyAlignment="1">
      <alignment horizontal="right" vertical="center"/>
    </xf>
    <xf numFmtId="37" fontId="44" fillId="0" borderId="0" xfId="2" applyNumberFormat="1" applyFont="1" applyFill="1" applyBorder="1" applyAlignment="1">
      <alignment horizontal="right" vertical="center"/>
    </xf>
    <xf numFmtId="177" fontId="44" fillId="0" borderId="1" xfId="2" applyNumberFormat="1" applyFont="1" applyFill="1" applyBorder="1" applyAlignment="1">
      <alignment horizontal="right" vertical="center"/>
    </xf>
    <xf numFmtId="37" fontId="44" fillId="0" borderId="1" xfId="2" applyNumberFormat="1" applyFont="1" applyFill="1" applyBorder="1" applyAlignment="1">
      <alignment horizontal="right" vertical="center"/>
    </xf>
    <xf numFmtId="37" fontId="44" fillId="4" borderId="2" xfId="2" applyNumberFormat="1" applyFont="1" applyFill="1" applyBorder="1" applyAlignment="1">
      <alignment horizontal="right" vertical="center"/>
    </xf>
    <xf numFmtId="0" fontId="45" fillId="0" borderId="0" xfId="0" applyFont="1" applyAlignment="1">
      <alignment vertical="center"/>
    </xf>
    <xf numFmtId="179" fontId="15" fillId="0" borderId="1" xfId="0" applyNumberFormat="1" applyFont="1" applyBorder="1" applyAlignment="1">
      <alignment horizontal="right" vertical="center"/>
    </xf>
    <xf numFmtId="180" fontId="13" fillId="0" borderId="1" xfId="0" applyNumberFormat="1" applyFont="1" applyBorder="1" applyAlignment="1">
      <alignment vertical="center"/>
    </xf>
    <xf numFmtId="181" fontId="13" fillId="4" borderId="2" xfId="0" applyNumberFormat="1" applyFont="1" applyFill="1" applyBorder="1" applyAlignment="1">
      <alignment vertical="center"/>
    </xf>
    <xf numFmtId="179" fontId="15" fillId="4" borderId="0" xfId="0" applyNumberFormat="1" applyFont="1" applyFill="1" applyAlignment="1">
      <alignment vertical="center"/>
    </xf>
    <xf numFmtId="176" fontId="44" fillId="0" borderId="2" xfId="0" applyNumberFormat="1" applyFont="1" applyBorder="1" applyAlignment="1">
      <alignment vertical="center"/>
    </xf>
    <xf numFmtId="37" fontId="44" fillId="0" borderId="0" xfId="0" applyNumberFormat="1" applyFont="1" applyAlignment="1">
      <alignment horizontal="right" vertical="center"/>
    </xf>
    <xf numFmtId="37" fontId="44" fillId="2" borderId="0" xfId="0" applyNumberFormat="1" applyFont="1" applyFill="1" applyAlignment="1">
      <alignment horizontal="right" vertical="center"/>
    </xf>
    <xf numFmtId="37" fontId="44" fillId="6" borderId="0" xfId="0" applyNumberFormat="1" applyFont="1" applyFill="1" applyAlignment="1">
      <alignment horizontal="right" vertical="center"/>
    </xf>
    <xf numFmtId="37" fontId="44" fillId="4" borderId="0" xfId="0" applyNumberFormat="1" applyFont="1" applyFill="1" applyAlignment="1">
      <alignment horizontal="right" vertical="center"/>
    </xf>
    <xf numFmtId="37" fontId="44" fillId="0" borderId="3" xfId="0" applyNumberFormat="1" applyFont="1" applyBorder="1" applyAlignment="1">
      <alignment horizontal="right" vertical="center"/>
    </xf>
    <xf numFmtId="37" fontId="44" fillId="7" borderId="0" xfId="0" applyNumberFormat="1" applyFont="1" applyFill="1" applyAlignment="1">
      <alignment horizontal="right" vertical="center"/>
    </xf>
    <xf numFmtId="37" fontId="44" fillId="0" borderId="1" xfId="0" applyNumberFormat="1" applyFont="1" applyBorder="1" applyAlignment="1">
      <alignment horizontal="right" vertical="center"/>
    </xf>
    <xf numFmtId="37" fontId="44" fillId="4" borderId="2" xfId="0" applyNumberFormat="1" applyFont="1" applyFill="1" applyBorder="1" applyAlignment="1">
      <alignment horizontal="right" vertical="center"/>
    </xf>
    <xf numFmtId="37" fontId="44" fillId="3" borderId="0" xfId="0" applyNumberFormat="1" applyFont="1" applyFill="1" applyAlignment="1">
      <alignment horizontal="right" vertical="center"/>
    </xf>
    <xf numFmtId="37" fontId="44" fillId="4" borderId="0" xfId="2" applyNumberFormat="1" applyFont="1" applyFill="1" applyAlignment="1" applyProtection="1">
      <alignment horizontal="right" vertical="center"/>
      <protection locked="0"/>
    </xf>
    <xf numFmtId="37" fontId="44" fillId="7" borderId="0" xfId="2" applyNumberFormat="1" applyFont="1" applyFill="1" applyAlignment="1">
      <alignment horizontal="right" vertical="center"/>
    </xf>
    <xf numFmtId="179" fontId="13" fillId="4" borderId="0" xfId="0" applyNumberFormat="1" applyFont="1" applyFill="1" applyAlignment="1">
      <alignment vertical="center"/>
    </xf>
    <xf numFmtId="179" fontId="13" fillId="0" borderId="0" xfId="0" applyNumberFormat="1" applyFont="1" applyAlignment="1">
      <alignment vertical="center"/>
    </xf>
    <xf numFmtId="0" fontId="22" fillId="0" borderId="0" xfId="0" applyFont="1" applyAlignment="1">
      <alignment horizontal="left" vertical="center" wrapText="1"/>
    </xf>
    <xf numFmtId="37" fontId="46" fillId="0" borderId="0" xfId="0" applyNumberFormat="1" applyFont="1" applyAlignment="1">
      <alignment horizontal="right" vertical="center"/>
    </xf>
    <xf numFmtId="4" fontId="13" fillId="0" borderId="0" xfId="0" applyNumberFormat="1" applyFont="1" applyAlignment="1">
      <alignment vertical="center"/>
    </xf>
    <xf numFmtId="37" fontId="15" fillId="0" borderId="0" xfId="2" applyNumberFormat="1" applyFont="1" applyFill="1" applyBorder="1" applyAlignment="1">
      <alignment horizontal="right" vertical="center"/>
    </xf>
    <xf numFmtId="180" fontId="15" fillId="0" borderId="1" xfId="0" applyNumberFormat="1" applyFont="1" applyBorder="1" applyAlignment="1">
      <alignment horizontal="right" vertical="center"/>
    </xf>
    <xf numFmtId="2" fontId="15" fillId="0" borderId="0" xfId="0" applyNumberFormat="1" applyFont="1" applyAlignment="1">
      <alignment vertical="center"/>
    </xf>
    <xf numFmtId="179" fontId="15" fillId="0" borderId="0" xfId="0" applyNumberFormat="1" applyFont="1" applyAlignment="1">
      <alignment vertical="center"/>
    </xf>
    <xf numFmtId="4" fontId="15" fillId="0" borderId="0" xfId="0" applyNumberFormat="1" applyFont="1" applyAlignment="1">
      <alignment vertical="center"/>
    </xf>
    <xf numFmtId="2" fontId="15" fillId="4" borderId="0" xfId="0" applyNumberFormat="1" applyFont="1" applyFill="1" applyAlignment="1">
      <alignment vertical="center"/>
    </xf>
    <xf numFmtId="0" fontId="10" fillId="0" borderId="0" xfId="0" applyFont="1" applyAlignment="1">
      <alignment horizontal="left" vertical="center" wrapText="1"/>
    </xf>
    <xf numFmtId="0" fontId="25" fillId="0" borderId="4" xfId="0" applyFont="1" applyBorder="1" applyAlignment="1">
      <alignment horizontal="left" vertical="center"/>
    </xf>
    <xf numFmtId="0" fontId="10" fillId="0" borderId="0" xfId="0" applyFont="1" applyAlignment="1">
      <alignment horizontal="left" vertical="center"/>
    </xf>
    <xf numFmtId="0" fontId="21" fillId="0" borderId="0" xfId="0" applyFont="1" applyAlignment="1">
      <alignment horizontal="left" vertical="center"/>
    </xf>
    <xf numFmtId="0" fontId="25" fillId="0" borderId="0" xfId="0" applyFont="1" applyAlignment="1">
      <alignment horizontal="left" vertical="center"/>
    </xf>
    <xf numFmtId="0" fontId="10" fillId="0" borderId="0" xfId="0" applyFont="1" applyAlignment="1">
      <alignment vertical="center" wrapText="1"/>
    </xf>
  </cellXfs>
  <cellStyles count="6">
    <cellStyle name="パーセント" xfId="1" builtinId="5"/>
    <cellStyle name="桁区切り" xfId="2" builtinId="6"/>
    <cellStyle name="桁区切り 5" xfId="5" xr:uid="{84308EE1-7D21-4521-AF0F-037FBD82DBB1}"/>
    <cellStyle name="通貨" xfId="3" builtinId="7"/>
    <cellStyle name="標準" xfId="0" builtinId="0"/>
    <cellStyle name="標準 5" xfId="4" xr:uid="{46FD2E34-1132-4C0B-BC37-4B5F87D0ACAE}"/>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655123</xdr:colOff>
      <xdr:row>37</xdr:row>
      <xdr:rowOff>46501</xdr:rowOff>
    </xdr:to>
    <xdr:pic>
      <xdr:nvPicPr>
        <xdr:cNvPr id="4" name="図 3">
          <a:extLst>
            <a:ext uri="{FF2B5EF4-FFF2-40B4-BE49-F238E27FC236}">
              <a16:creationId xmlns:a16="http://schemas.microsoft.com/office/drawing/2014/main" id="{A06A1D9C-9C68-A946-E72E-C3B2E70A7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9499766" cy="671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tabSelected="1" view="pageBreakPreview" topLeftCell="A9" zoomScale="70" zoomScaleNormal="70" zoomScaleSheetLayoutView="70" workbookViewId="0">
      <selection activeCell="A39" sqref="A39"/>
    </sheetView>
  </sheetViews>
  <sheetFormatPr defaultRowHeight="14"/>
  <cols>
    <col min="1" max="2" width="9" customWidth="1"/>
    <col min="8" max="8" width="9" customWidth="1"/>
    <col min="14" max="14" width="8.83203125" customWidth="1"/>
  </cols>
  <sheetData>
    <row r="1" spans="1:18" ht="15.5">
      <c r="A1" s="99" t="s">
        <v>0</v>
      </c>
      <c r="B1" s="98"/>
    </row>
    <row r="2" spans="1:18" ht="15.5">
      <c r="A2" s="98" t="s">
        <v>1</v>
      </c>
      <c r="F2" s="95"/>
      <c r="G2" s="95"/>
    </row>
    <row r="3" spans="1:18" ht="14.25" customHeight="1">
      <c r="F3" s="95"/>
      <c r="G3" s="95"/>
    </row>
    <row r="4" spans="1:18" ht="14.25" customHeight="1">
      <c r="F4" s="96"/>
      <c r="G4" s="96"/>
      <c r="H4" s="100"/>
      <c r="I4" s="100"/>
      <c r="Q4" s="95"/>
      <c r="R4" s="95"/>
    </row>
    <row r="5" spans="1:18" ht="14.25" customHeight="1">
      <c r="F5" s="96"/>
      <c r="G5" s="96"/>
      <c r="H5" s="100"/>
      <c r="I5" s="100"/>
      <c r="Q5" s="95"/>
      <c r="R5" s="95"/>
    </row>
    <row r="6" spans="1:18" ht="14.25" customHeight="1">
      <c r="F6" s="96"/>
      <c r="G6" s="96"/>
      <c r="H6" s="100"/>
      <c r="I6" s="100"/>
      <c r="Q6" s="96"/>
      <c r="R6" s="96"/>
    </row>
    <row r="7" spans="1:18" ht="14.25" customHeight="1">
      <c r="F7" s="96"/>
      <c r="G7" s="96"/>
      <c r="H7" s="100"/>
      <c r="I7" s="100"/>
      <c r="Q7" s="96"/>
      <c r="R7" s="96"/>
    </row>
    <row r="8" spans="1:18" ht="14.25" customHeight="1">
      <c r="F8" s="96"/>
      <c r="G8" s="96"/>
      <c r="H8" s="100"/>
      <c r="I8" s="100"/>
      <c r="Q8" s="96"/>
      <c r="R8" s="96"/>
    </row>
    <row r="9" spans="1:18" ht="14.25" customHeight="1">
      <c r="D9" s="113" t="s">
        <v>1</v>
      </c>
      <c r="F9" s="96"/>
      <c r="G9" s="96"/>
      <c r="H9" s="100"/>
      <c r="I9" s="100"/>
      <c r="K9" s="108"/>
      <c r="L9" s="109"/>
      <c r="M9" s="109"/>
      <c r="N9" s="98"/>
      <c r="O9" s="98"/>
      <c r="P9" s="98"/>
      <c r="Q9" s="97"/>
      <c r="R9" s="96"/>
    </row>
    <row r="10" spans="1:18" ht="14.25" customHeight="1">
      <c r="F10" s="96"/>
      <c r="G10" s="96"/>
      <c r="H10" s="100"/>
      <c r="I10" s="100"/>
      <c r="K10" s="110"/>
      <c r="L10" s="109"/>
      <c r="M10" s="109"/>
      <c r="N10" s="98"/>
      <c r="O10" s="98"/>
      <c r="P10" s="98"/>
      <c r="Q10" s="96"/>
      <c r="R10" s="96"/>
    </row>
    <row r="11" spans="1:18" ht="14.25" customHeight="1">
      <c r="B11" s="95" t="s">
        <v>1</v>
      </c>
      <c r="C11" s="101" t="s">
        <v>1</v>
      </c>
      <c r="D11" s="96"/>
      <c r="E11" s="96"/>
      <c r="F11" s="96"/>
      <c r="G11" s="96"/>
      <c r="H11" s="100"/>
      <c r="I11" s="100"/>
      <c r="K11" s="109"/>
      <c r="L11" s="101"/>
      <c r="M11" s="101"/>
      <c r="N11" s="98"/>
      <c r="O11" s="98"/>
      <c r="P11" s="98"/>
      <c r="Q11" s="96"/>
      <c r="R11" s="96"/>
    </row>
    <row r="12" spans="1:18" ht="14.25" customHeight="1">
      <c r="B12" s="95"/>
      <c r="C12" s="95"/>
      <c r="E12" s="95"/>
      <c r="F12" s="95" t="s">
        <v>1</v>
      </c>
      <c r="G12" s="95"/>
      <c r="K12" s="111"/>
      <c r="L12" s="101"/>
      <c r="M12" s="101"/>
      <c r="N12" s="98"/>
      <c r="O12" s="98"/>
      <c r="P12" s="98"/>
      <c r="Q12" s="96"/>
      <c r="R12" s="96"/>
    </row>
    <row r="13" spans="1:18" ht="14.25" customHeight="1">
      <c r="F13" s="144"/>
      <c r="J13" s="100"/>
      <c r="K13" s="109"/>
      <c r="L13" s="101"/>
      <c r="M13" s="101"/>
      <c r="N13" s="98"/>
      <c r="O13" s="98"/>
      <c r="P13" s="98"/>
    </row>
    <row r="14" spans="1:18" ht="14.25" customHeight="1">
      <c r="J14" s="100"/>
      <c r="K14" s="112"/>
      <c r="L14" s="101"/>
      <c r="M14" s="101"/>
      <c r="N14" s="98"/>
      <c r="O14" s="98"/>
      <c r="P14" s="98"/>
    </row>
    <row r="15" spans="1:18" ht="14.25" customHeight="1">
      <c r="J15" s="100"/>
      <c r="K15" s="109"/>
      <c r="L15" s="101"/>
      <c r="M15" s="101"/>
      <c r="N15" s="98"/>
      <c r="O15" s="98"/>
      <c r="P15" s="98"/>
    </row>
    <row r="16" spans="1:18" ht="14.25" customHeight="1">
      <c r="J16" s="100"/>
      <c r="K16" s="112"/>
      <c r="L16" s="101"/>
      <c r="M16" s="101"/>
      <c r="N16" s="98"/>
      <c r="O16" s="98"/>
      <c r="P16" s="98"/>
    </row>
    <row r="17" spans="2:16" ht="14.25" customHeight="1">
      <c r="J17" s="100"/>
      <c r="K17" s="98"/>
      <c r="L17" s="98"/>
      <c r="M17" s="98"/>
      <c r="N17" s="98"/>
      <c r="O17" s="98"/>
      <c r="P17" s="98"/>
    </row>
    <row r="18" spans="2:16" ht="14.25" customHeight="1">
      <c r="J18" s="100"/>
      <c r="K18" s="98"/>
      <c r="L18" s="98"/>
      <c r="M18" s="98"/>
      <c r="N18" s="98"/>
      <c r="O18" s="98"/>
      <c r="P18" s="98"/>
    </row>
    <row r="19" spans="2:16" ht="14.25" customHeight="1">
      <c r="J19" s="100"/>
    </row>
    <row r="20" spans="2:16" ht="14.25" customHeight="1">
      <c r="J20" s="100"/>
    </row>
    <row r="21" spans="2:16" ht="14.25" customHeight="1">
      <c r="J21" s="100"/>
    </row>
    <row r="22" spans="2:16" ht="14.25" customHeight="1">
      <c r="J22" s="100"/>
    </row>
    <row r="23" spans="2:16" ht="14.25" customHeight="1">
      <c r="J23" s="100"/>
    </row>
    <row r="24" spans="2:16" ht="14.25" customHeight="1">
      <c r="C24" s="100"/>
      <c r="D24" s="100"/>
      <c r="E24" s="100"/>
      <c r="F24" s="100"/>
      <c r="G24" s="100"/>
      <c r="H24" s="100"/>
      <c r="I24" s="100"/>
      <c r="J24" s="100"/>
    </row>
    <row r="25" spans="2:16" ht="14.25" customHeight="1"/>
    <row r="26" spans="2:16" ht="14.25" customHeight="1"/>
    <row r="31" spans="2:16">
      <c r="B31" s="94"/>
    </row>
    <row r="37" spans="3:3" ht="21" customHeight="1"/>
    <row r="45" spans="3:3" ht="41.5">
      <c r="C45" s="115" t="s">
        <v>1</v>
      </c>
    </row>
  </sheetData>
  <phoneticPr fontId="4"/>
  <pageMargins left="0" right="0" top="0" bottom="0"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81"/>
  <sheetViews>
    <sheetView view="pageBreakPreview" zoomScaleNormal="85" zoomScaleSheetLayoutView="100" workbookViewId="0">
      <pane xSplit="1" ySplit="3" topLeftCell="B50" activePane="bottomRight" state="frozen"/>
      <selection pane="topRight" activeCell="B1" sqref="B1"/>
      <selection pane="bottomLeft" activeCell="A4" sqref="A4"/>
      <selection pane="bottomRight" activeCell="A58" sqref="A58"/>
    </sheetView>
  </sheetViews>
  <sheetFormatPr defaultColWidth="13" defaultRowHeight="16.5" customHeight="1" outlineLevelRow="1"/>
  <cols>
    <col min="1" max="1" width="41.58203125" style="84" customWidth="1"/>
    <col min="2" max="3" width="7.58203125" style="2" bestFit="1" customWidth="1"/>
    <col min="4" max="5" width="7.58203125" style="1" bestFit="1" customWidth="1"/>
    <col min="6" max="7" width="7.58203125" style="2" bestFit="1" customWidth="1"/>
    <col min="8" max="10" width="10" style="2" bestFit="1" customWidth="1"/>
    <col min="11" max="11" width="10" style="224" bestFit="1" customWidth="1"/>
    <col min="12" max="12" width="10.08203125" style="2" bestFit="1" customWidth="1"/>
    <col min="13" max="13" width="10.08203125" style="1" bestFit="1" customWidth="1"/>
    <col min="14" max="16384" width="13" style="2"/>
  </cols>
  <sheetData>
    <row r="1" spans="1:13" ht="16.5" customHeight="1">
      <c r="A1" s="50" t="s">
        <v>225</v>
      </c>
    </row>
    <row r="2" spans="1:13" ht="28.5" customHeight="1">
      <c r="A2" s="206" t="s">
        <v>79</v>
      </c>
    </row>
    <row r="3" spans="1:13" ht="16.5" customHeight="1" thickBot="1">
      <c r="A3" s="66" t="s">
        <v>80</v>
      </c>
      <c r="B3" s="67">
        <v>2016</v>
      </c>
      <c r="C3" s="67">
        <v>2017</v>
      </c>
      <c r="D3" s="67">
        <v>2018</v>
      </c>
      <c r="E3" s="67">
        <v>2019</v>
      </c>
      <c r="F3" s="67">
        <v>2020</v>
      </c>
      <c r="G3" s="67">
        <v>2021</v>
      </c>
      <c r="H3" s="67" t="s">
        <v>44</v>
      </c>
      <c r="I3" s="67" t="s">
        <v>45</v>
      </c>
      <c r="J3" s="67" t="s">
        <v>46</v>
      </c>
      <c r="K3" s="243" t="s">
        <v>47</v>
      </c>
      <c r="L3" s="67" t="s">
        <v>48</v>
      </c>
      <c r="M3" s="68" t="s">
        <v>131</v>
      </c>
    </row>
    <row r="4" spans="1:13" ht="16.5" customHeight="1">
      <c r="A4" s="42" t="s">
        <v>226</v>
      </c>
      <c r="B4" s="38"/>
      <c r="C4" s="38"/>
      <c r="D4" s="38"/>
      <c r="E4" s="38"/>
      <c r="F4" s="38"/>
      <c r="G4" s="38"/>
      <c r="H4" s="46"/>
      <c r="I4" s="46"/>
      <c r="J4" s="46"/>
      <c r="K4" s="244"/>
      <c r="L4" s="46"/>
      <c r="M4" s="47"/>
    </row>
    <row r="5" spans="1:13" ht="16.5" customHeight="1">
      <c r="A5" s="14" t="s">
        <v>227</v>
      </c>
      <c r="B5" s="38">
        <f>'1'!B23</f>
        <v>66623</v>
      </c>
      <c r="C5" s="38">
        <f>'1'!C23</f>
        <v>145560</v>
      </c>
      <c r="D5" s="38">
        <v>63977</v>
      </c>
      <c r="E5" s="38">
        <v>82550</v>
      </c>
      <c r="F5" s="38">
        <v>57157</v>
      </c>
      <c r="G5" s="38">
        <v>79205</v>
      </c>
      <c r="H5" s="46">
        <v>74561</v>
      </c>
      <c r="I5" s="46">
        <v>131815</v>
      </c>
      <c r="J5" s="46">
        <v>114301</v>
      </c>
      <c r="K5" s="244">
        <v>126135</v>
      </c>
      <c r="L5" s="46">
        <v>170389</v>
      </c>
      <c r="M5" s="47">
        <f>'4'!M34</f>
        <v>199167</v>
      </c>
    </row>
    <row r="6" spans="1:13" ht="16.5" hidden="1" customHeight="1">
      <c r="A6" s="17" t="s">
        <v>228</v>
      </c>
      <c r="B6" s="39"/>
      <c r="C6" s="39"/>
      <c r="D6" s="39"/>
      <c r="E6" s="39"/>
      <c r="F6" s="39"/>
      <c r="G6" s="39"/>
      <c r="H6" s="39"/>
      <c r="I6" s="39"/>
      <c r="J6" s="39"/>
      <c r="K6" s="245"/>
      <c r="L6" s="39"/>
      <c r="M6" s="48"/>
    </row>
    <row r="7" spans="1:13" ht="16.5" hidden="1" customHeight="1">
      <c r="A7" s="14" t="s">
        <v>229</v>
      </c>
      <c r="B7" s="38"/>
      <c r="C7" s="38"/>
      <c r="D7" s="38"/>
      <c r="E7" s="38"/>
      <c r="F7" s="38"/>
      <c r="G7" s="38"/>
      <c r="H7" s="46"/>
      <c r="I7" s="46"/>
      <c r="J7" s="46"/>
      <c r="K7" s="244"/>
      <c r="L7" s="46"/>
      <c r="M7" s="47"/>
    </row>
    <row r="8" spans="1:13" ht="16.5" customHeight="1">
      <c r="A8" s="17" t="s">
        <v>230</v>
      </c>
      <c r="B8" s="35"/>
      <c r="C8" s="35"/>
      <c r="D8" s="35"/>
      <c r="E8" s="35"/>
      <c r="F8" s="35"/>
      <c r="G8" s="35"/>
      <c r="H8" s="39" t="s">
        <v>133</v>
      </c>
      <c r="I8" s="39" t="s">
        <v>133</v>
      </c>
      <c r="J8" s="39"/>
      <c r="K8" s="245"/>
      <c r="L8" s="39"/>
      <c r="M8" s="48"/>
    </row>
    <row r="9" spans="1:13" ht="16.5" customHeight="1">
      <c r="A9" s="14" t="s">
        <v>231</v>
      </c>
      <c r="B9" s="38">
        <f>'2'!B17</f>
        <v>83224</v>
      </c>
      <c r="C9" s="38">
        <f>'2'!C17</f>
        <v>87491</v>
      </c>
      <c r="D9" s="38">
        <v>92171</v>
      </c>
      <c r="E9" s="38">
        <v>106631</v>
      </c>
      <c r="F9" s="38">
        <v>124984</v>
      </c>
      <c r="G9" s="38">
        <v>140285</v>
      </c>
      <c r="H9" s="46">
        <v>148356</v>
      </c>
      <c r="I9" s="46">
        <v>177031</v>
      </c>
      <c r="J9" s="46">
        <v>206285</v>
      </c>
      <c r="K9" s="244">
        <v>190546</v>
      </c>
      <c r="L9" s="46">
        <v>196228</v>
      </c>
      <c r="M9" s="47">
        <f>'1'!M37</f>
        <v>204192</v>
      </c>
    </row>
    <row r="10" spans="1:13" ht="16.5" customHeight="1">
      <c r="A10" s="17" t="s">
        <v>232</v>
      </c>
      <c r="B10" s="35">
        <v>1105</v>
      </c>
      <c r="C10" s="35">
        <v>601</v>
      </c>
      <c r="D10" s="35">
        <v>704</v>
      </c>
      <c r="E10" s="35">
        <v>2249</v>
      </c>
      <c r="F10" s="35">
        <v>2183</v>
      </c>
      <c r="G10" s="35">
        <v>-18</v>
      </c>
      <c r="H10" s="138"/>
      <c r="I10" s="138"/>
      <c r="J10" s="138"/>
      <c r="K10" s="247"/>
      <c r="L10" s="138"/>
      <c r="M10" s="186"/>
    </row>
    <row r="11" spans="1:13" ht="16.5" customHeight="1">
      <c r="A11" s="14" t="s">
        <v>233</v>
      </c>
      <c r="B11" s="38">
        <v>533</v>
      </c>
      <c r="C11" s="38">
        <v>16811</v>
      </c>
      <c r="D11" s="38">
        <v>1282</v>
      </c>
      <c r="E11" s="38">
        <v>5112</v>
      </c>
      <c r="F11" s="38">
        <v>18592</v>
      </c>
      <c r="G11" s="38">
        <v>7914</v>
      </c>
      <c r="H11" s="46">
        <v>7914</v>
      </c>
      <c r="I11" s="46">
        <v>3300</v>
      </c>
      <c r="J11" s="46">
        <v>35064</v>
      </c>
      <c r="K11" s="244">
        <v>9570</v>
      </c>
      <c r="L11" s="46">
        <v>18032</v>
      </c>
      <c r="M11" s="47">
        <v>751</v>
      </c>
    </row>
    <row r="12" spans="1:13" ht="16.5" customHeight="1">
      <c r="A12" s="43" t="s">
        <v>234</v>
      </c>
      <c r="B12" s="44">
        <v>2001</v>
      </c>
      <c r="C12" s="44">
        <v>30723</v>
      </c>
      <c r="D12" s="44">
        <v>-1354</v>
      </c>
      <c r="E12" s="44">
        <v>5458</v>
      </c>
      <c r="F12" s="44">
        <v>-4437</v>
      </c>
      <c r="G12" s="44">
        <v>6222</v>
      </c>
      <c r="H12" s="138">
        <v>42702</v>
      </c>
      <c r="I12" s="138">
        <v>40675</v>
      </c>
      <c r="J12" s="138">
        <v>52918</v>
      </c>
      <c r="K12" s="247">
        <v>53106</v>
      </c>
      <c r="L12" s="138">
        <v>67419</v>
      </c>
      <c r="M12" s="186">
        <f>'1'!M22</f>
        <v>77642</v>
      </c>
    </row>
    <row r="13" spans="1:13" ht="16.5" customHeight="1">
      <c r="A13" s="14" t="s">
        <v>235</v>
      </c>
      <c r="B13" s="38">
        <v>3145</v>
      </c>
      <c r="C13" s="38">
        <v>-80</v>
      </c>
      <c r="D13" s="38">
        <v>248</v>
      </c>
      <c r="E13" s="38">
        <v>-463</v>
      </c>
      <c r="F13" s="38">
        <v>-1879</v>
      </c>
      <c r="G13" s="38">
        <v>-9030</v>
      </c>
      <c r="H13" s="46">
        <v>-11424</v>
      </c>
      <c r="I13" s="46">
        <v>-11277</v>
      </c>
      <c r="J13" s="46">
        <v>-17372</v>
      </c>
      <c r="K13" s="244">
        <v>-35902</v>
      </c>
      <c r="L13" s="46">
        <v>-27047</v>
      </c>
      <c r="M13" s="47">
        <f>'4'!M21</f>
        <v>36495</v>
      </c>
    </row>
    <row r="14" spans="1:13" ht="16.5" hidden="1" customHeight="1" outlineLevel="1">
      <c r="A14" s="168" t="s">
        <v>236</v>
      </c>
      <c r="B14" s="61"/>
      <c r="C14" s="61"/>
      <c r="D14" s="61"/>
      <c r="E14" s="61"/>
      <c r="F14" s="61"/>
      <c r="G14" s="61"/>
      <c r="H14" s="61"/>
      <c r="I14" s="61"/>
      <c r="J14" s="61"/>
      <c r="K14" s="252"/>
      <c r="L14" s="61"/>
      <c r="M14" s="194"/>
    </row>
    <row r="15" spans="1:13" ht="16.5" customHeight="1" outlineLevel="1">
      <c r="A15" s="136" t="s">
        <v>237</v>
      </c>
      <c r="B15" s="61"/>
      <c r="C15" s="61"/>
      <c r="D15" s="61"/>
      <c r="E15" s="61"/>
      <c r="F15" s="61"/>
      <c r="G15" s="61"/>
      <c r="H15" s="61">
        <v>7483.3269999999993</v>
      </c>
      <c r="I15" s="61">
        <v>7853</v>
      </c>
      <c r="J15" s="61">
        <v>20772</v>
      </c>
      <c r="K15" s="252">
        <v>30224</v>
      </c>
      <c r="L15" s="61">
        <v>13365</v>
      </c>
      <c r="M15" s="194">
        <f>'4'!M22</f>
        <v>-32710</v>
      </c>
    </row>
    <row r="16" spans="1:13" ht="16.5" customHeight="1">
      <c r="A16" s="14" t="s">
        <v>238</v>
      </c>
      <c r="B16" s="46"/>
      <c r="C16" s="46">
        <v>-149538</v>
      </c>
      <c r="D16" s="46">
        <v>-5427</v>
      </c>
      <c r="E16" s="46">
        <v>-4011</v>
      </c>
      <c r="F16" s="46">
        <v>-2910</v>
      </c>
      <c r="G16" s="46">
        <v>-2433</v>
      </c>
      <c r="H16" s="46">
        <v>-2433</v>
      </c>
      <c r="I16" s="46"/>
      <c r="J16" s="46"/>
      <c r="K16" s="244"/>
      <c r="L16" s="46"/>
      <c r="M16" s="47"/>
    </row>
    <row r="17" spans="1:13" ht="16.5" customHeight="1">
      <c r="A17" s="136" t="s">
        <v>239</v>
      </c>
      <c r="B17" s="138"/>
      <c r="C17" s="138"/>
      <c r="D17" s="138"/>
      <c r="E17" s="138"/>
      <c r="F17" s="138"/>
      <c r="G17" s="138"/>
      <c r="H17" s="138" t="s">
        <v>133</v>
      </c>
      <c r="I17" s="138" t="s">
        <v>133</v>
      </c>
      <c r="J17" s="138"/>
      <c r="K17" s="247"/>
      <c r="L17" s="138"/>
      <c r="M17" s="186"/>
    </row>
    <row r="18" spans="1:13" ht="16.5" customHeight="1" collapsed="1">
      <c r="A18" s="14" t="s">
        <v>240</v>
      </c>
      <c r="B18" s="46">
        <v>-1417</v>
      </c>
      <c r="C18" s="46">
        <v>-1280</v>
      </c>
      <c r="D18" s="46">
        <v>-2924</v>
      </c>
      <c r="E18" s="46">
        <v>-1768</v>
      </c>
      <c r="F18" s="46">
        <v>2370</v>
      </c>
      <c r="G18" s="46">
        <v>905</v>
      </c>
      <c r="H18" s="46">
        <v>-415</v>
      </c>
      <c r="I18" s="46">
        <v>-2291</v>
      </c>
      <c r="J18" s="46">
        <v>-1792</v>
      </c>
      <c r="K18" s="244">
        <v>-670</v>
      </c>
      <c r="L18" s="46">
        <v>66</v>
      </c>
      <c r="M18" s="47">
        <v>-610</v>
      </c>
    </row>
    <row r="19" spans="1:13" ht="16.5" customHeight="1">
      <c r="A19" s="136" t="s">
        <v>241</v>
      </c>
      <c r="B19" s="105"/>
      <c r="C19" s="105"/>
      <c r="D19" s="105"/>
      <c r="E19" s="105">
        <v>-9379</v>
      </c>
      <c r="F19" s="105">
        <v>183</v>
      </c>
      <c r="G19" s="105">
        <v>-1093</v>
      </c>
      <c r="H19" s="105">
        <v>-1093</v>
      </c>
      <c r="I19" s="138"/>
      <c r="J19" s="138"/>
      <c r="K19" s="247"/>
      <c r="L19" s="138"/>
      <c r="M19" s="186"/>
    </row>
    <row r="20" spans="1:13" ht="16.5" customHeight="1">
      <c r="A20" s="14" t="s">
        <v>242</v>
      </c>
      <c r="B20" s="8"/>
      <c r="C20" s="8"/>
      <c r="D20" s="8"/>
      <c r="E20" s="8"/>
      <c r="F20" s="8"/>
      <c r="G20" s="8"/>
      <c r="H20" s="9" t="s">
        <v>133</v>
      </c>
      <c r="I20" s="9" t="s">
        <v>133</v>
      </c>
      <c r="J20" s="9"/>
      <c r="K20" s="226"/>
      <c r="L20" s="9"/>
      <c r="M20" s="92"/>
    </row>
    <row r="21" spans="1:13" ht="16.5" customHeight="1">
      <c r="A21" s="136" t="s">
        <v>243</v>
      </c>
      <c r="B21" s="102">
        <v>-7262</v>
      </c>
      <c r="C21" s="102">
        <v>-59152</v>
      </c>
      <c r="D21" s="102">
        <v>-51961</v>
      </c>
      <c r="E21" s="102">
        <v>-3388</v>
      </c>
      <c r="F21" s="102">
        <v>-13198</v>
      </c>
      <c r="G21" s="102">
        <v>-96966</v>
      </c>
      <c r="H21" s="106">
        <v>-96954</v>
      </c>
      <c r="I21" s="106">
        <v>-38452</v>
      </c>
      <c r="J21" s="106">
        <v>6321</v>
      </c>
      <c r="K21" s="227">
        <v>36976</v>
      </c>
      <c r="L21" s="106">
        <v>-28011</v>
      </c>
      <c r="M21" s="175">
        <v>-136919</v>
      </c>
    </row>
    <row r="22" spans="1:13" ht="16.5" customHeight="1">
      <c r="A22" s="14" t="s">
        <v>244</v>
      </c>
      <c r="B22" s="9">
        <v>-10591</v>
      </c>
      <c r="C22" s="9">
        <v>-21709</v>
      </c>
      <c r="D22" s="9">
        <v>-49731</v>
      </c>
      <c r="E22" s="9">
        <v>-22952</v>
      </c>
      <c r="F22" s="9">
        <v>-20357</v>
      </c>
      <c r="G22" s="9">
        <v>-38603</v>
      </c>
      <c r="H22" s="9">
        <v>-38561</v>
      </c>
      <c r="I22" s="9">
        <v>-108436</v>
      </c>
      <c r="J22" s="9">
        <v>11961</v>
      </c>
      <c r="K22" s="226">
        <v>72950</v>
      </c>
      <c r="L22" s="9">
        <v>-8273</v>
      </c>
      <c r="M22" s="92">
        <v>-131521</v>
      </c>
    </row>
    <row r="23" spans="1:13" ht="16.5" customHeight="1">
      <c r="A23" s="136" t="s">
        <v>245</v>
      </c>
      <c r="B23" s="106"/>
      <c r="C23" s="106"/>
      <c r="D23" s="106"/>
      <c r="E23" s="106"/>
      <c r="F23" s="106"/>
      <c r="G23" s="106"/>
      <c r="H23" s="106"/>
      <c r="I23" s="106">
        <v>-112222</v>
      </c>
      <c r="J23" s="106">
        <v>12787</v>
      </c>
      <c r="K23" s="227">
        <v>13093</v>
      </c>
      <c r="L23" s="106">
        <v>10832</v>
      </c>
      <c r="M23" s="175">
        <v>13871</v>
      </c>
    </row>
    <row r="24" spans="1:13" ht="17.149999999999999" customHeight="1">
      <c r="A24" s="14" t="s">
        <v>246</v>
      </c>
      <c r="B24" s="9"/>
      <c r="C24" s="9"/>
      <c r="D24" s="9"/>
      <c r="E24" s="9"/>
      <c r="F24" s="9"/>
      <c r="G24" s="9"/>
      <c r="H24" s="9"/>
      <c r="I24" s="9"/>
      <c r="J24" s="9"/>
      <c r="K24" s="226">
        <v>-2905</v>
      </c>
      <c r="L24" s="9">
        <v>5865</v>
      </c>
      <c r="M24" s="92">
        <v>-13928</v>
      </c>
    </row>
    <row r="25" spans="1:13" s="140" customFormat="1" ht="16.5" customHeight="1">
      <c r="A25" s="136" t="s">
        <v>247</v>
      </c>
      <c r="B25" s="102">
        <v>16460</v>
      </c>
      <c r="C25" s="102">
        <v>67913</v>
      </c>
      <c r="D25" s="102">
        <v>53761</v>
      </c>
      <c r="E25" s="102">
        <v>-12241</v>
      </c>
      <c r="F25" s="102">
        <v>23090</v>
      </c>
      <c r="G25" s="102">
        <v>99098</v>
      </c>
      <c r="H25" s="102">
        <v>99098</v>
      </c>
      <c r="I25" s="106">
        <v>86431</v>
      </c>
      <c r="J25" s="106">
        <v>-116469</v>
      </c>
      <c r="K25" s="227">
        <v>-19744</v>
      </c>
      <c r="L25" s="106">
        <v>38777</v>
      </c>
      <c r="M25" s="175">
        <v>259548</v>
      </c>
    </row>
    <row r="26" spans="1:13" ht="15" hidden="1" customHeight="1">
      <c r="A26" s="136" t="s">
        <v>248</v>
      </c>
      <c r="B26" s="102">
        <v>-509</v>
      </c>
      <c r="C26" s="102">
        <v>12467</v>
      </c>
      <c r="D26" s="102">
        <v>8410</v>
      </c>
      <c r="E26" s="102">
        <v>8541</v>
      </c>
      <c r="F26" s="102">
        <v>16563</v>
      </c>
      <c r="G26" s="102">
        <v>43882</v>
      </c>
      <c r="H26" s="106"/>
      <c r="I26" s="106" t="s">
        <v>133</v>
      </c>
      <c r="J26" s="106"/>
      <c r="K26" s="227"/>
      <c r="L26" s="106"/>
      <c r="M26" s="175"/>
    </row>
    <row r="27" spans="1:13" ht="11.5" hidden="1" customHeight="1">
      <c r="A27" s="14" t="s">
        <v>249</v>
      </c>
      <c r="B27" s="8">
        <v>-1293</v>
      </c>
      <c r="C27" s="8">
        <v>11097</v>
      </c>
      <c r="D27" s="8">
        <v>-6280</v>
      </c>
      <c r="E27" s="8">
        <v>-7153</v>
      </c>
      <c r="F27" s="8">
        <v>1423</v>
      </c>
      <c r="G27" s="8">
        <v>5738</v>
      </c>
      <c r="H27" s="9"/>
      <c r="I27" s="9" t="s">
        <v>133</v>
      </c>
      <c r="J27" s="9"/>
      <c r="K27" s="226"/>
      <c r="L27" s="9"/>
      <c r="M27" s="92"/>
    </row>
    <row r="28" spans="1:13" ht="15.5">
      <c r="A28" s="14" t="s">
        <v>250</v>
      </c>
      <c r="B28" s="8"/>
      <c r="C28" s="8"/>
      <c r="D28" s="8"/>
      <c r="E28" s="8"/>
      <c r="F28" s="8"/>
      <c r="G28" s="8"/>
      <c r="H28" s="9"/>
      <c r="I28" s="9"/>
      <c r="J28" s="9"/>
      <c r="K28" s="226">
        <v>14966</v>
      </c>
      <c r="L28" s="9">
        <v>37063</v>
      </c>
      <c r="M28" s="92">
        <v>46123</v>
      </c>
    </row>
    <row r="29" spans="1:13" ht="16.5" customHeight="1">
      <c r="A29" s="136" t="s">
        <v>251</v>
      </c>
      <c r="B29" s="102">
        <v>5334</v>
      </c>
      <c r="C29" s="102">
        <v>7198</v>
      </c>
      <c r="D29" s="102">
        <v>-10437</v>
      </c>
      <c r="E29" s="102">
        <v>-5481</v>
      </c>
      <c r="F29" s="102">
        <v>9038</v>
      </c>
      <c r="G29" s="102">
        <v>-18696</v>
      </c>
      <c r="H29" s="106">
        <f>-19271+38369</f>
        <v>19098</v>
      </c>
      <c r="I29" s="106">
        <f>-9740+34453</f>
        <v>24713</v>
      </c>
      <c r="J29" s="106">
        <v>2805</v>
      </c>
      <c r="K29" s="227"/>
      <c r="L29" s="106"/>
      <c r="M29" s="175"/>
    </row>
    <row r="30" spans="1:13" ht="16.5" customHeight="1">
      <c r="A30" s="14" t="s">
        <v>252</v>
      </c>
      <c r="B30" s="8"/>
      <c r="C30" s="8"/>
      <c r="D30" s="8"/>
      <c r="E30" s="8"/>
      <c r="F30" s="8"/>
      <c r="G30" s="8"/>
      <c r="H30" s="9"/>
      <c r="I30" s="9"/>
      <c r="J30" s="9"/>
      <c r="K30" s="226">
        <v>12997</v>
      </c>
      <c r="L30" s="9">
        <v>-1297</v>
      </c>
      <c r="M30" s="92">
        <v>1510</v>
      </c>
    </row>
    <row r="31" spans="1:13" ht="16.5" customHeight="1">
      <c r="A31" s="136" t="s">
        <v>253</v>
      </c>
      <c r="B31" s="102"/>
      <c r="C31" s="102"/>
      <c r="D31" s="102"/>
      <c r="E31" s="102"/>
      <c r="F31" s="102"/>
      <c r="G31" s="102"/>
      <c r="H31" s="106"/>
      <c r="I31" s="106"/>
      <c r="J31" s="106"/>
      <c r="K31" s="227">
        <v>-2834</v>
      </c>
      <c r="L31" s="106">
        <v>6669</v>
      </c>
      <c r="M31" s="175">
        <v>5242</v>
      </c>
    </row>
    <row r="32" spans="1:13" ht="16.5" customHeight="1">
      <c r="A32" s="14" t="s">
        <v>254</v>
      </c>
      <c r="B32" s="8"/>
      <c r="C32" s="8"/>
      <c r="D32" s="8"/>
      <c r="E32" s="8"/>
      <c r="F32" s="8"/>
      <c r="G32" s="8"/>
      <c r="H32" s="9"/>
      <c r="I32" s="9"/>
      <c r="J32" s="9">
        <v>-8519</v>
      </c>
      <c r="K32" s="226"/>
      <c r="L32" s="9"/>
      <c r="M32" s="92"/>
    </row>
    <row r="33" spans="1:13" ht="16.5" customHeight="1">
      <c r="A33" s="136" t="s">
        <v>255</v>
      </c>
      <c r="B33" s="102">
        <v>-3966</v>
      </c>
      <c r="C33" s="102">
        <v>1646</v>
      </c>
      <c r="D33" s="102">
        <v>-1560</v>
      </c>
      <c r="E33" s="102">
        <v>-2770</v>
      </c>
      <c r="F33" s="102">
        <v>-3794</v>
      </c>
      <c r="G33" s="102">
        <v>-3098</v>
      </c>
      <c r="H33" s="106">
        <v>-1313</v>
      </c>
      <c r="I33" s="106">
        <v>-348</v>
      </c>
      <c r="J33" s="106"/>
      <c r="K33" s="227">
        <v>-4533</v>
      </c>
      <c r="L33" s="106">
        <v>-4269</v>
      </c>
      <c r="M33" s="175">
        <v>-2576</v>
      </c>
    </row>
    <row r="34" spans="1:13" ht="16.5" customHeight="1">
      <c r="A34" s="14" t="s">
        <v>256</v>
      </c>
      <c r="B34" s="8"/>
      <c r="C34" s="8"/>
      <c r="D34" s="8"/>
      <c r="E34" s="8"/>
      <c r="F34" s="8"/>
      <c r="G34" s="8"/>
      <c r="H34" s="9">
        <v>9205.5990000000002</v>
      </c>
      <c r="I34" s="9">
        <v>9538</v>
      </c>
      <c r="J34" s="9">
        <v>14746</v>
      </c>
      <c r="K34" s="226">
        <v>20965</v>
      </c>
      <c r="L34" s="9">
        <v>20391</v>
      </c>
      <c r="M34" s="92">
        <v>33458</v>
      </c>
    </row>
    <row r="35" spans="1:13" ht="16.5" customHeight="1">
      <c r="A35" s="136" t="s">
        <v>257</v>
      </c>
      <c r="B35" s="102"/>
      <c r="C35" s="102"/>
      <c r="D35" s="102"/>
      <c r="E35" s="102"/>
      <c r="F35" s="102"/>
      <c r="G35" s="102"/>
      <c r="H35" s="106">
        <v>-4056</v>
      </c>
      <c r="I35" s="106">
        <v>-5491</v>
      </c>
      <c r="J35" s="106">
        <v>-9009</v>
      </c>
      <c r="K35" s="227">
        <v>-8942</v>
      </c>
      <c r="L35" s="106">
        <v>-8045</v>
      </c>
      <c r="M35" s="175">
        <v>-8334</v>
      </c>
    </row>
    <row r="36" spans="1:13" ht="16.5" customHeight="1">
      <c r="A36" s="14" t="s">
        <v>258</v>
      </c>
      <c r="B36" s="8"/>
      <c r="C36" s="8"/>
      <c r="D36" s="8"/>
      <c r="E36" s="8"/>
      <c r="F36" s="8"/>
      <c r="G36" s="8"/>
      <c r="H36" s="9">
        <v>-27568</v>
      </c>
      <c r="I36" s="9">
        <v>-30617</v>
      </c>
      <c r="J36" s="9">
        <v>-41139</v>
      </c>
      <c r="K36" s="226">
        <v>-40197</v>
      </c>
      <c r="L36" s="9">
        <v>-59757</v>
      </c>
      <c r="M36" s="92">
        <v>-47656</v>
      </c>
    </row>
    <row r="37" spans="1:13" ht="16.5" customHeight="1">
      <c r="A37" s="136" t="s">
        <v>259</v>
      </c>
      <c r="B37" s="222">
        <v>-1824</v>
      </c>
      <c r="C37" s="222">
        <v>10388</v>
      </c>
      <c r="D37" s="222">
        <v>431</v>
      </c>
      <c r="E37" s="222">
        <v>-661</v>
      </c>
      <c r="F37" s="222">
        <v>13382</v>
      </c>
      <c r="G37" s="222">
        <v>9502</v>
      </c>
      <c r="H37" s="222">
        <v>6254</v>
      </c>
      <c r="I37" s="222">
        <v>6765</v>
      </c>
      <c r="J37" s="222">
        <v>-20888</v>
      </c>
      <c r="K37" s="253">
        <v>-18794</v>
      </c>
      <c r="L37" s="222">
        <v>-2558</v>
      </c>
      <c r="M37" s="223">
        <v>11496</v>
      </c>
    </row>
    <row r="38" spans="1:13" ht="16.5" customHeight="1">
      <c r="A38" s="14" t="s">
        <v>226</v>
      </c>
      <c r="B38" s="38">
        <f>SUM(B5:B18)+SUM(B21:B37)</f>
        <v>151563</v>
      </c>
      <c r="C38" s="38">
        <f>SUM(C5:C18)+SUM(C21:C37)</f>
        <v>160136</v>
      </c>
      <c r="D38" s="38">
        <v>91310</v>
      </c>
      <c r="E38" s="38">
        <v>140274</v>
      </c>
      <c r="F38" s="38">
        <v>222390</v>
      </c>
      <c r="G38" s="38">
        <v>222814</v>
      </c>
      <c r="H38" s="46">
        <v>230855</v>
      </c>
      <c r="I38" s="46">
        <v>178987</v>
      </c>
      <c r="J38" s="46">
        <v>262772</v>
      </c>
      <c r="K38" s="244">
        <v>447007</v>
      </c>
      <c r="L38" s="46">
        <v>445839</v>
      </c>
      <c r="M38" s="47">
        <v>507672</v>
      </c>
    </row>
    <row r="39" spans="1:13" ht="16.5" customHeight="1">
      <c r="A39" s="42" t="s">
        <v>260</v>
      </c>
      <c r="B39" s="8"/>
      <c r="C39" s="8"/>
      <c r="D39" s="8"/>
      <c r="E39" s="8"/>
      <c r="F39" s="8"/>
      <c r="G39" s="8"/>
      <c r="H39" s="9" t="s">
        <v>133</v>
      </c>
      <c r="I39" s="9" t="s">
        <v>133</v>
      </c>
      <c r="J39" s="9"/>
      <c r="K39" s="226"/>
      <c r="L39" s="9"/>
      <c r="M39" s="92"/>
    </row>
    <row r="40" spans="1:13" ht="16.5" customHeight="1">
      <c r="A40" s="136" t="s">
        <v>261</v>
      </c>
      <c r="B40" s="102">
        <v>-160674</v>
      </c>
      <c r="C40" s="102">
        <v>-167631</v>
      </c>
      <c r="D40" s="102">
        <v>-178612</v>
      </c>
      <c r="E40" s="102">
        <v>-173592</v>
      </c>
      <c r="F40" s="102">
        <v>-173429</v>
      </c>
      <c r="G40" s="102">
        <v>-212355</v>
      </c>
      <c r="H40" s="106">
        <v>-212196</v>
      </c>
      <c r="I40" s="106">
        <v>-291337</v>
      </c>
      <c r="J40" s="106">
        <v>-275709</v>
      </c>
      <c r="K40" s="227">
        <v>-218589</v>
      </c>
      <c r="L40" s="106">
        <v>-225290</v>
      </c>
      <c r="M40" s="175">
        <v>-298591</v>
      </c>
    </row>
    <row r="41" spans="1:13" ht="16.5" customHeight="1">
      <c r="A41" s="14" t="s">
        <v>262</v>
      </c>
      <c r="B41" s="46">
        <v>3918</v>
      </c>
      <c r="C41" s="46">
        <v>21085</v>
      </c>
      <c r="D41" s="46">
        <v>9083</v>
      </c>
      <c r="E41" s="46">
        <v>3921</v>
      </c>
      <c r="F41" s="46">
        <v>2945</v>
      </c>
      <c r="G41" s="46">
        <v>3586</v>
      </c>
      <c r="H41" s="46">
        <v>3586</v>
      </c>
      <c r="I41" s="46">
        <v>3368</v>
      </c>
      <c r="J41" s="46">
        <v>23795</v>
      </c>
      <c r="K41" s="244">
        <v>26100</v>
      </c>
      <c r="L41" s="46">
        <v>20517</v>
      </c>
      <c r="M41" s="47">
        <v>14115</v>
      </c>
    </row>
    <row r="42" spans="1:13" ht="16.5" customHeight="1">
      <c r="A42" s="136" t="s">
        <v>263</v>
      </c>
      <c r="B42" s="102">
        <v>30348</v>
      </c>
      <c r="C42" s="102">
        <v>38697</v>
      </c>
      <c r="D42" s="102">
        <v>168256</v>
      </c>
      <c r="E42" s="102">
        <v>92197</v>
      </c>
      <c r="F42" s="102">
        <v>80328</v>
      </c>
      <c r="G42" s="102">
        <v>90606</v>
      </c>
      <c r="H42" s="106">
        <v>90606</v>
      </c>
      <c r="I42" s="106">
        <v>83172</v>
      </c>
      <c r="J42" s="106">
        <v>79937</v>
      </c>
      <c r="K42" s="227">
        <v>44796</v>
      </c>
      <c r="L42" s="106">
        <v>71492</v>
      </c>
      <c r="M42" s="175">
        <v>133382</v>
      </c>
    </row>
    <row r="43" spans="1:13" ht="16.5" customHeight="1">
      <c r="A43" s="14" t="s">
        <v>264</v>
      </c>
      <c r="B43" s="8">
        <v>-27352</v>
      </c>
      <c r="C43" s="8">
        <v>-73632</v>
      </c>
      <c r="D43" s="8">
        <v>-156621</v>
      </c>
      <c r="E43" s="8">
        <v>-87581</v>
      </c>
      <c r="F43" s="8">
        <v>-74665</v>
      </c>
      <c r="G43" s="8">
        <v>-120427</v>
      </c>
      <c r="H43" s="9">
        <v>-120427</v>
      </c>
      <c r="I43" s="9">
        <v>-66745</v>
      </c>
      <c r="J43" s="9">
        <v>-42416</v>
      </c>
      <c r="K43" s="226">
        <v>-43183</v>
      </c>
      <c r="L43" s="9">
        <v>-115127</v>
      </c>
      <c r="M43" s="92">
        <v>-206274</v>
      </c>
    </row>
    <row r="44" spans="1:13" ht="16.5" customHeight="1">
      <c r="A44" s="136" t="s">
        <v>265</v>
      </c>
      <c r="B44" s="102">
        <v>4833</v>
      </c>
      <c r="C44" s="102">
        <v>523</v>
      </c>
      <c r="D44" s="102">
        <v>24933</v>
      </c>
      <c r="E44" s="102">
        <v>435</v>
      </c>
      <c r="F44" s="102">
        <v>1608</v>
      </c>
      <c r="G44" s="102">
        <v>1080</v>
      </c>
      <c r="H44" s="106">
        <v>1080</v>
      </c>
      <c r="I44" s="106">
        <v>1523</v>
      </c>
      <c r="J44" s="106">
        <v>788</v>
      </c>
      <c r="K44" s="227">
        <v>1952</v>
      </c>
      <c r="L44" s="106">
        <v>19093</v>
      </c>
      <c r="M44" s="175">
        <v>17605</v>
      </c>
    </row>
    <row r="45" spans="1:13" ht="16.5" customHeight="1">
      <c r="A45" s="14" t="s">
        <v>266</v>
      </c>
      <c r="B45" s="46">
        <v>-1112</v>
      </c>
      <c r="C45" s="46">
        <v>-837</v>
      </c>
      <c r="D45" s="46">
        <v>-1208</v>
      </c>
      <c r="E45" s="46">
        <v>-803</v>
      </c>
      <c r="F45" s="46">
        <v>-2380</v>
      </c>
      <c r="G45" s="46">
        <v>-3994</v>
      </c>
      <c r="H45" s="46">
        <v>-3994</v>
      </c>
      <c r="I45" s="46">
        <v>-11537</v>
      </c>
      <c r="J45" s="46">
        <v>-11803</v>
      </c>
      <c r="K45" s="244">
        <v>-17918</v>
      </c>
      <c r="L45" s="46">
        <v>-9184</v>
      </c>
      <c r="M45" s="47">
        <v>-21901</v>
      </c>
    </row>
    <row r="46" spans="1:13" ht="16.5" hidden="1" customHeight="1">
      <c r="A46" s="136" t="s">
        <v>267</v>
      </c>
      <c r="B46" s="102"/>
      <c r="C46" s="102"/>
      <c r="D46" s="102"/>
      <c r="E46" s="102"/>
      <c r="F46" s="102"/>
      <c r="G46" s="102"/>
      <c r="H46" s="106" t="s">
        <v>133</v>
      </c>
      <c r="I46" s="106" t="s">
        <v>133</v>
      </c>
      <c r="J46" s="106"/>
      <c r="K46" s="227"/>
      <c r="L46" s="106"/>
      <c r="M46" s="175"/>
    </row>
    <row r="47" spans="1:13" ht="16.5" hidden="1" customHeight="1">
      <c r="A47" s="14" t="s">
        <v>268</v>
      </c>
      <c r="B47" s="46"/>
      <c r="C47" s="46"/>
      <c r="D47" s="46"/>
      <c r="E47" s="46"/>
      <c r="F47" s="46"/>
      <c r="G47" s="46"/>
      <c r="H47" s="46" t="s">
        <v>133</v>
      </c>
      <c r="I47" s="46" t="s">
        <v>133</v>
      </c>
      <c r="J47" s="46"/>
      <c r="K47" s="244"/>
      <c r="L47" s="46"/>
      <c r="M47" s="47"/>
    </row>
    <row r="48" spans="1:13" ht="16.5" customHeight="1">
      <c r="A48" s="136" t="s">
        <v>269</v>
      </c>
      <c r="B48" s="102"/>
      <c r="C48" s="102">
        <v>128210</v>
      </c>
      <c r="D48" s="102">
        <v>30365</v>
      </c>
      <c r="E48" s="102">
        <v>11462</v>
      </c>
      <c r="F48" s="102"/>
      <c r="G48" s="102">
        <v>7017</v>
      </c>
      <c r="H48" s="106">
        <v>7017</v>
      </c>
      <c r="I48" s="106"/>
      <c r="J48" s="106"/>
      <c r="K48" s="227"/>
      <c r="L48" s="106"/>
      <c r="M48" s="175"/>
    </row>
    <row r="49" spans="1:13" ht="16.5" customHeight="1">
      <c r="A49" s="14" t="s">
        <v>270</v>
      </c>
      <c r="B49" s="46"/>
      <c r="C49" s="46"/>
      <c r="D49" s="46"/>
      <c r="E49" s="46"/>
      <c r="F49" s="46"/>
      <c r="G49" s="46"/>
      <c r="H49" s="46" t="s">
        <v>133</v>
      </c>
      <c r="I49" s="46"/>
      <c r="J49" s="46"/>
      <c r="K49" s="244"/>
      <c r="L49" s="46"/>
      <c r="M49" s="258">
        <v>-1343</v>
      </c>
    </row>
    <row r="50" spans="1:13" ht="16.5" customHeight="1">
      <c r="A50" s="136" t="s">
        <v>271</v>
      </c>
      <c r="B50" s="102">
        <v>-15165</v>
      </c>
      <c r="C50" s="102">
        <v>-16819</v>
      </c>
      <c r="D50" s="102">
        <v>-141499</v>
      </c>
      <c r="E50" s="102">
        <v>-2548</v>
      </c>
      <c r="F50" s="102">
        <v>-234</v>
      </c>
      <c r="G50" s="102"/>
      <c r="H50" s="106"/>
      <c r="I50" s="106"/>
      <c r="J50" s="106"/>
      <c r="K50" s="227"/>
      <c r="L50" s="106"/>
      <c r="M50" s="175">
        <v>-10241</v>
      </c>
    </row>
    <row r="51" spans="1:13" ht="16.5" customHeight="1">
      <c r="A51" s="14" t="s">
        <v>272</v>
      </c>
      <c r="B51" s="8"/>
      <c r="C51" s="8"/>
      <c r="D51" s="8"/>
      <c r="E51" s="46">
        <v>22064</v>
      </c>
      <c r="F51" s="46">
        <v>124484</v>
      </c>
      <c r="G51" s="46">
        <v>2502</v>
      </c>
      <c r="H51" s="46">
        <v>2502</v>
      </c>
      <c r="I51" s="46"/>
      <c r="J51" s="46"/>
      <c r="K51" s="244"/>
      <c r="L51" s="46"/>
      <c r="M51" s="47"/>
    </row>
    <row r="52" spans="1:13" ht="16.5" customHeight="1">
      <c r="A52" s="136" t="s">
        <v>273</v>
      </c>
      <c r="B52" s="102"/>
      <c r="C52" s="102"/>
      <c r="D52" s="102"/>
      <c r="E52" s="102"/>
      <c r="F52" s="102"/>
      <c r="G52" s="102"/>
      <c r="H52" s="106" t="s">
        <v>133</v>
      </c>
      <c r="I52" s="106" t="s">
        <v>133</v>
      </c>
      <c r="J52" s="106">
        <v>-6754</v>
      </c>
      <c r="K52" s="227">
        <v>-9693</v>
      </c>
      <c r="L52" s="106">
        <v>-5975</v>
      </c>
      <c r="M52" s="175">
        <v>-3966</v>
      </c>
    </row>
    <row r="53" spans="1:13" ht="16.5" hidden="1" customHeight="1">
      <c r="A53" s="14" t="s">
        <v>274</v>
      </c>
      <c r="B53" s="8"/>
      <c r="C53" s="8"/>
      <c r="D53" s="8"/>
      <c r="E53" s="8"/>
      <c r="F53" s="8"/>
      <c r="G53" s="8"/>
      <c r="H53" s="9"/>
      <c r="I53" s="9"/>
      <c r="J53" s="9"/>
      <c r="K53" s="226"/>
      <c r="L53" s="9"/>
      <c r="M53" s="92"/>
    </row>
    <row r="54" spans="1:13" ht="16.5" hidden="1" customHeight="1">
      <c r="A54" s="14" t="s">
        <v>275</v>
      </c>
      <c r="B54" s="46"/>
      <c r="C54" s="46"/>
      <c r="D54" s="46"/>
      <c r="E54" s="46"/>
      <c r="F54" s="46"/>
      <c r="G54" s="46"/>
      <c r="H54" s="46"/>
      <c r="I54" s="46"/>
      <c r="J54" s="46"/>
      <c r="K54" s="244"/>
      <c r="L54" s="46"/>
      <c r="M54" s="47"/>
    </row>
    <row r="55" spans="1:13" ht="16.5" hidden="1" customHeight="1">
      <c r="A55" s="14" t="s">
        <v>276</v>
      </c>
      <c r="B55" s="46"/>
      <c r="C55" s="46"/>
      <c r="D55" s="46"/>
      <c r="E55" s="46"/>
      <c r="F55" s="46"/>
      <c r="G55" s="46"/>
      <c r="H55" s="46"/>
      <c r="I55" s="46"/>
      <c r="J55" s="46"/>
      <c r="K55" s="244"/>
      <c r="L55" s="46"/>
      <c r="M55" s="47"/>
    </row>
    <row r="56" spans="1:13" ht="16.5" customHeight="1">
      <c r="A56" s="14" t="s">
        <v>259</v>
      </c>
      <c r="B56" s="8">
        <f>-148+21605+3162</f>
        <v>24619</v>
      </c>
      <c r="C56" s="8">
        <f>128210+603-1310-128210</f>
        <v>-707</v>
      </c>
      <c r="D56" s="8">
        <v>-796</v>
      </c>
      <c r="E56" s="8">
        <v>-5734</v>
      </c>
      <c r="F56" s="8">
        <v>-621</v>
      </c>
      <c r="G56" s="8">
        <v>497</v>
      </c>
      <c r="H56" s="9">
        <v>408</v>
      </c>
      <c r="I56" s="9">
        <v>10</v>
      </c>
      <c r="J56" s="9">
        <v>-2240</v>
      </c>
      <c r="K56" s="226">
        <v>-57</v>
      </c>
      <c r="L56" s="9">
        <v>-368</v>
      </c>
      <c r="M56" s="92">
        <v>-536</v>
      </c>
    </row>
    <row r="57" spans="1:13" ht="16.5" customHeight="1">
      <c r="A57" s="136" t="s">
        <v>260</v>
      </c>
      <c r="B57" s="105">
        <f>SUM(B40:B56)</f>
        <v>-140585</v>
      </c>
      <c r="C57" s="105">
        <f>SUM(C40:C56)</f>
        <v>-71111</v>
      </c>
      <c r="D57" s="105">
        <v>-246099</v>
      </c>
      <c r="E57" s="105">
        <v>-140179</v>
      </c>
      <c r="F57" s="105">
        <v>-41964</v>
      </c>
      <c r="G57" s="105">
        <v>-231488</v>
      </c>
      <c r="H57" s="105">
        <v>-231488</v>
      </c>
      <c r="I57" s="138">
        <v>-281546</v>
      </c>
      <c r="J57" s="138">
        <v>-234402</v>
      </c>
      <c r="K57" s="247">
        <v>-216592</v>
      </c>
      <c r="L57" s="138">
        <v>-244842</v>
      </c>
      <c r="M57" s="186">
        <v>-377751</v>
      </c>
    </row>
    <row r="58" spans="1:13" ht="16.5" customHeight="1">
      <c r="A58" s="42" t="s">
        <v>277</v>
      </c>
      <c r="B58" s="46"/>
      <c r="C58" s="46"/>
      <c r="D58" s="46"/>
      <c r="E58" s="46"/>
      <c r="F58" s="46"/>
      <c r="G58" s="46"/>
      <c r="H58" s="46" t="s">
        <v>133</v>
      </c>
      <c r="I58" s="46" t="s">
        <v>133</v>
      </c>
      <c r="J58" s="46"/>
      <c r="K58" s="244"/>
      <c r="L58" s="46"/>
      <c r="M58" s="47"/>
    </row>
    <row r="59" spans="1:13" ht="16.5" customHeight="1">
      <c r="A59" s="136" t="s">
        <v>278</v>
      </c>
      <c r="B59" s="102">
        <v>22700</v>
      </c>
      <c r="C59" s="102"/>
      <c r="D59" s="102"/>
      <c r="E59" s="102"/>
      <c r="F59" s="102"/>
      <c r="G59" s="102"/>
      <c r="H59" s="106">
        <v>50014</v>
      </c>
      <c r="I59" s="106">
        <v>190879</v>
      </c>
      <c r="J59" s="106">
        <v>372</v>
      </c>
      <c r="K59" s="227">
        <v>80339</v>
      </c>
      <c r="L59" s="106">
        <v>13677</v>
      </c>
      <c r="M59" s="175">
        <v>15870</v>
      </c>
    </row>
    <row r="60" spans="1:13" ht="16.5" customHeight="1">
      <c r="A60" s="14" t="s">
        <v>279</v>
      </c>
      <c r="B60" s="8">
        <v>-1289</v>
      </c>
      <c r="C60" s="8"/>
      <c r="D60" s="8"/>
      <c r="E60" s="8"/>
      <c r="F60" s="8"/>
      <c r="G60" s="8"/>
      <c r="H60" s="9">
        <v>-66200</v>
      </c>
      <c r="I60" s="9">
        <v>-134570</v>
      </c>
      <c r="J60" s="9">
        <v>-4868</v>
      </c>
      <c r="K60" s="226">
        <v>-25478</v>
      </c>
      <c r="L60" s="9">
        <v>-134934</v>
      </c>
      <c r="M60" s="92">
        <v>-37780</v>
      </c>
    </row>
    <row r="61" spans="1:13" s="201" customFormat="1" ht="16.5" hidden="1" customHeight="1">
      <c r="A61" s="197" t="s">
        <v>280</v>
      </c>
      <c r="B61" s="204"/>
      <c r="C61" s="204">
        <f>119275+2457</f>
        <v>121732</v>
      </c>
      <c r="D61" s="204">
        <v>151096</v>
      </c>
      <c r="E61" s="204">
        <v>5166</v>
      </c>
      <c r="F61" s="204">
        <v>21407</v>
      </c>
      <c r="G61" s="204">
        <v>178619</v>
      </c>
      <c r="H61" s="202"/>
      <c r="I61" s="202"/>
      <c r="J61" s="202"/>
      <c r="K61" s="254"/>
      <c r="L61" s="202"/>
      <c r="M61" s="203"/>
    </row>
    <row r="62" spans="1:13" s="201" customFormat="1" ht="16.5" hidden="1" customHeight="1">
      <c r="A62" s="197" t="s">
        <v>281</v>
      </c>
      <c r="B62" s="204"/>
      <c r="C62" s="204">
        <f>-1578-52246</f>
        <v>-53824</v>
      </c>
      <c r="D62" s="204">
        <v>-64863</v>
      </c>
      <c r="E62" s="204">
        <v>-68930</v>
      </c>
      <c r="F62" s="204">
        <v>-95087</v>
      </c>
      <c r="G62" s="204">
        <v>-93994</v>
      </c>
      <c r="H62" s="202"/>
      <c r="I62" s="202"/>
      <c r="J62" s="202"/>
      <c r="K62" s="254"/>
      <c r="L62" s="202"/>
      <c r="M62" s="203"/>
    </row>
    <row r="63" spans="1:13" s="201" customFormat="1" ht="16.5" hidden="1" customHeight="1">
      <c r="A63" s="197" t="s">
        <v>282</v>
      </c>
      <c r="B63" s="199">
        <v>50213</v>
      </c>
      <c r="C63" s="199">
        <v>-81942</v>
      </c>
      <c r="D63" s="199">
        <v>48067</v>
      </c>
      <c r="E63" s="199">
        <v>95824</v>
      </c>
      <c r="F63" s="199">
        <v>-21613</v>
      </c>
      <c r="G63" s="199">
        <v>-25938</v>
      </c>
      <c r="H63" s="199"/>
      <c r="I63" s="199"/>
      <c r="J63" s="199"/>
      <c r="K63" s="249"/>
      <c r="L63" s="199"/>
      <c r="M63" s="200"/>
    </row>
    <row r="64" spans="1:13" ht="16.5" customHeight="1">
      <c r="A64" s="136" t="s">
        <v>283</v>
      </c>
      <c r="B64" s="138">
        <f t="shared" ref="B64:G64" si="0">B61+B62+B63</f>
        <v>50213</v>
      </c>
      <c r="C64" s="138">
        <f t="shared" si="0"/>
        <v>-14034</v>
      </c>
      <c r="D64" s="138">
        <f t="shared" si="0"/>
        <v>134300</v>
      </c>
      <c r="E64" s="138">
        <f t="shared" si="0"/>
        <v>32060</v>
      </c>
      <c r="F64" s="138">
        <f t="shared" si="0"/>
        <v>-95293</v>
      </c>
      <c r="G64" s="138">
        <f t="shared" si="0"/>
        <v>58687</v>
      </c>
      <c r="H64" s="138">
        <v>-24526</v>
      </c>
      <c r="I64" s="138">
        <v>-8235</v>
      </c>
      <c r="J64" s="138">
        <v>65942</v>
      </c>
      <c r="K64" s="247">
        <v>-168237</v>
      </c>
      <c r="L64" s="138">
        <v>10050</v>
      </c>
      <c r="M64" s="186">
        <v>11804</v>
      </c>
    </row>
    <row r="65" spans="1:13" ht="16.5" customHeight="1">
      <c r="A65" s="14" t="s">
        <v>284</v>
      </c>
      <c r="B65" s="46"/>
      <c r="C65" s="46"/>
      <c r="D65" s="46"/>
      <c r="E65" s="46"/>
      <c r="F65" s="46"/>
      <c r="G65" s="46"/>
      <c r="H65" s="46">
        <v>100000</v>
      </c>
      <c r="I65" s="46">
        <v>100000</v>
      </c>
      <c r="J65" s="46"/>
      <c r="K65" s="244">
        <v>20000</v>
      </c>
      <c r="L65" s="46"/>
      <c r="M65" s="47">
        <v>50000</v>
      </c>
    </row>
    <row r="66" spans="1:13" ht="16.5" customHeight="1">
      <c r="A66" s="136" t="s">
        <v>285</v>
      </c>
      <c r="B66" s="138"/>
      <c r="C66" s="138"/>
      <c r="D66" s="138"/>
      <c r="E66" s="138"/>
      <c r="F66" s="138"/>
      <c r="G66" s="138"/>
      <c r="H66" s="138"/>
      <c r="I66" s="138"/>
      <c r="J66" s="138"/>
      <c r="K66" s="247"/>
      <c r="L66" s="138"/>
      <c r="M66" s="186">
        <v>-30000</v>
      </c>
    </row>
    <row r="67" spans="1:13" ht="16.5" customHeight="1">
      <c r="A67" s="14" t="s">
        <v>286</v>
      </c>
      <c r="B67" s="46"/>
      <c r="C67" s="46"/>
      <c r="D67" s="46"/>
      <c r="E67" s="46"/>
      <c r="F67" s="46"/>
      <c r="G67" s="46"/>
      <c r="H67" s="46"/>
      <c r="I67" s="46"/>
      <c r="J67" s="46"/>
      <c r="K67" s="244"/>
      <c r="L67" s="46">
        <v>29954</v>
      </c>
      <c r="M67" s="47">
        <v>-23</v>
      </c>
    </row>
    <row r="68" spans="1:13" ht="16.5" customHeight="1">
      <c r="A68" s="136" t="s">
        <v>287</v>
      </c>
      <c r="B68" s="138"/>
      <c r="C68" s="138"/>
      <c r="D68" s="138"/>
      <c r="E68" s="138"/>
      <c r="F68" s="138"/>
      <c r="G68" s="138"/>
      <c r="H68" s="138">
        <v>-8712</v>
      </c>
      <c r="I68" s="138">
        <v>-9713</v>
      </c>
      <c r="J68" s="138">
        <v>-10398</v>
      </c>
      <c r="K68" s="247">
        <v>-12286</v>
      </c>
      <c r="L68" s="138">
        <v>-14183</v>
      </c>
      <c r="M68" s="186">
        <v>-12923</v>
      </c>
    </row>
    <row r="69" spans="1:13" ht="16.5" customHeight="1">
      <c r="A69" s="14" t="s">
        <v>288</v>
      </c>
      <c r="B69" s="8">
        <v>-13864</v>
      </c>
      <c r="C69" s="8">
        <v>-15132</v>
      </c>
      <c r="D69" s="8">
        <v>-15138</v>
      </c>
      <c r="E69" s="8">
        <v>-18948</v>
      </c>
      <c r="F69" s="8">
        <v>-21469</v>
      </c>
      <c r="G69" s="8">
        <v>-22738</v>
      </c>
      <c r="H69" s="9">
        <v>-22738</v>
      </c>
      <c r="I69" s="9">
        <v>-23987</v>
      </c>
      <c r="J69" s="9">
        <v>-37198</v>
      </c>
      <c r="K69" s="226">
        <v>-42152</v>
      </c>
      <c r="L69" s="9">
        <v>-48536</v>
      </c>
      <c r="M69" s="92">
        <v>-60736</v>
      </c>
    </row>
    <row r="70" spans="1:13" ht="16.5" customHeight="1">
      <c r="A70" s="136" t="s">
        <v>289</v>
      </c>
      <c r="B70" s="102">
        <v>-28504</v>
      </c>
      <c r="C70" s="102">
        <v>-8914</v>
      </c>
      <c r="D70" s="102">
        <v>-8796</v>
      </c>
      <c r="E70" s="102">
        <v>-3590</v>
      </c>
      <c r="F70" s="102">
        <v>-4991</v>
      </c>
      <c r="G70" s="102">
        <v>-5955</v>
      </c>
      <c r="H70" s="106">
        <v>-5955</v>
      </c>
      <c r="I70" s="106">
        <v>-113</v>
      </c>
      <c r="J70" s="106"/>
      <c r="K70" s="227"/>
      <c r="L70" s="106"/>
      <c r="M70" s="175">
        <v>-324</v>
      </c>
    </row>
    <row r="71" spans="1:13" ht="16.5" customHeight="1">
      <c r="A71" s="14" t="s">
        <v>259</v>
      </c>
      <c r="B71" s="8">
        <f>208-159</f>
        <v>49</v>
      </c>
      <c r="C71" s="8">
        <v>327</v>
      </c>
      <c r="D71" s="8">
        <v>-278</v>
      </c>
      <c r="E71" s="8">
        <v>-87</v>
      </c>
      <c r="F71" s="8">
        <v>-16</v>
      </c>
      <c r="G71" s="8">
        <v>-801</v>
      </c>
      <c r="H71" s="9">
        <v>-801</v>
      </c>
      <c r="I71" s="9">
        <v>-518</v>
      </c>
      <c r="J71" s="9">
        <v>1097</v>
      </c>
      <c r="K71" s="226">
        <v>1446</v>
      </c>
      <c r="L71" s="9">
        <v>639</v>
      </c>
      <c r="M71" s="92">
        <v>-635</v>
      </c>
    </row>
    <row r="72" spans="1:13" ht="16.5" customHeight="1">
      <c r="A72" s="136" t="s">
        <v>290</v>
      </c>
      <c r="B72" s="138">
        <f t="shared" ref="B72:G72" si="1">SUM(B59:B71)-B61-B62-B63</f>
        <v>29305</v>
      </c>
      <c r="C72" s="138">
        <f t="shared" si="1"/>
        <v>-37753</v>
      </c>
      <c r="D72" s="138">
        <f t="shared" si="1"/>
        <v>110088</v>
      </c>
      <c r="E72" s="138">
        <f t="shared" si="1"/>
        <v>9435</v>
      </c>
      <c r="F72" s="138">
        <f t="shared" si="1"/>
        <v>-121769</v>
      </c>
      <c r="G72" s="138">
        <f t="shared" si="1"/>
        <v>29193</v>
      </c>
      <c r="H72" s="138">
        <v>21082</v>
      </c>
      <c r="I72" s="138">
        <v>113743</v>
      </c>
      <c r="J72" s="138">
        <v>14947</v>
      </c>
      <c r="K72" s="247">
        <v>-146368</v>
      </c>
      <c r="L72" s="138">
        <v>-143333</v>
      </c>
      <c r="M72" s="186">
        <v>-64747</v>
      </c>
    </row>
    <row r="73" spans="1:13" ht="16.5" hidden="1" customHeight="1">
      <c r="A73" s="14" t="s">
        <v>291</v>
      </c>
      <c r="B73" s="8"/>
      <c r="C73" s="8"/>
      <c r="D73" s="8"/>
      <c r="E73" s="8"/>
      <c r="F73" s="8"/>
      <c r="G73" s="8"/>
      <c r="H73" s="9"/>
      <c r="I73" s="9"/>
      <c r="J73" s="9"/>
      <c r="K73" s="226"/>
      <c r="L73" s="9"/>
      <c r="M73" s="92"/>
    </row>
    <row r="74" spans="1:13" ht="16.5" customHeight="1">
      <c r="A74" s="14" t="s">
        <v>292</v>
      </c>
      <c r="B74" s="8">
        <v>-19919</v>
      </c>
      <c r="C74" s="8">
        <v>-6352</v>
      </c>
      <c r="D74" s="8">
        <v>-6063</v>
      </c>
      <c r="E74" s="8">
        <v>21</v>
      </c>
      <c r="F74" s="8">
        <v>-15115</v>
      </c>
      <c r="G74" s="8">
        <v>27151</v>
      </c>
      <c r="H74" s="9">
        <v>27151</v>
      </c>
      <c r="I74" s="9">
        <v>47768</v>
      </c>
      <c r="J74" s="9">
        <v>23529</v>
      </c>
      <c r="K74" s="226">
        <v>59766</v>
      </c>
      <c r="L74" s="9">
        <v>-10355</v>
      </c>
      <c r="M74" s="92">
        <v>80293</v>
      </c>
    </row>
    <row r="75" spans="1:13" ht="16.5" customHeight="1">
      <c r="A75" s="136" t="s">
        <v>293</v>
      </c>
      <c r="B75" s="138">
        <v>20364</v>
      </c>
      <c r="C75" s="138">
        <v>44920</v>
      </c>
      <c r="D75" s="138">
        <v>-50764</v>
      </c>
      <c r="E75" s="138">
        <v>9551</v>
      </c>
      <c r="F75" s="138">
        <v>43542</v>
      </c>
      <c r="G75" s="138">
        <v>47670</v>
      </c>
      <c r="H75" s="138">
        <v>47670</v>
      </c>
      <c r="I75" s="138">
        <v>58952</v>
      </c>
      <c r="J75" s="138">
        <v>66846</v>
      </c>
      <c r="K75" s="247">
        <v>143813</v>
      </c>
      <c r="L75" s="138">
        <v>47309</v>
      </c>
      <c r="M75" s="186">
        <v>145468</v>
      </c>
    </row>
    <row r="76" spans="1:13" ht="16.5" customHeight="1">
      <c r="A76" s="14" t="s">
        <v>294</v>
      </c>
      <c r="B76" s="8">
        <v>265104</v>
      </c>
      <c r="C76" s="8">
        <v>285468</v>
      </c>
      <c r="D76" s="8">
        <v>330388</v>
      </c>
      <c r="E76" s="8">
        <v>279624</v>
      </c>
      <c r="F76" s="8">
        <v>289175</v>
      </c>
      <c r="G76" s="8">
        <v>332717</v>
      </c>
      <c r="H76" s="9">
        <v>332717</v>
      </c>
      <c r="I76" s="9">
        <v>380387</v>
      </c>
      <c r="J76" s="9">
        <v>439339</v>
      </c>
      <c r="K76" s="226">
        <v>506185</v>
      </c>
      <c r="L76" s="9">
        <v>649998</v>
      </c>
      <c r="M76" s="92">
        <v>697307</v>
      </c>
    </row>
    <row r="77" spans="1:13" ht="16.5" customHeight="1" thickBot="1">
      <c r="A77" s="142" t="s">
        <v>295</v>
      </c>
      <c r="B77" s="143">
        <f>B75+B76</f>
        <v>285468</v>
      </c>
      <c r="C77" s="143">
        <f>C75+C76</f>
        <v>330388</v>
      </c>
      <c r="D77" s="143">
        <v>279624</v>
      </c>
      <c r="E77" s="143">
        <v>289175</v>
      </c>
      <c r="F77" s="143">
        <v>332717</v>
      </c>
      <c r="G77" s="143">
        <v>380387</v>
      </c>
      <c r="H77" s="143">
        <v>380387</v>
      </c>
      <c r="I77" s="143">
        <v>439339</v>
      </c>
      <c r="J77" s="143">
        <v>506185</v>
      </c>
      <c r="K77" s="251">
        <v>649998</v>
      </c>
      <c r="L77" s="143">
        <v>697307</v>
      </c>
      <c r="M77" s="188">
        <v>842775</v>
      </c>
    </row>
    <row r="78" spans="1:13" ht="16.5" customHeight="1">
      <c r="A78" s="73" t="s">
        <v>39</v>
      </c>
      <c r="D78" s="2"/>
      <c r="E78" s="2"/>
      <c r="H78" s="146" t="s">
        <v>0</v>
      </c>
      <c r="I78" s="146"/>
      <c r="J78" s="146" t="s">
        <v>0</v>
      </c>
      <c r="K78" s="146" t="s">
        <v>0</v>
      </c>
      <c r="L78" s="146" t="s">
        <v>0</v>
      </c>
      <c r="M78" s="191" t="s">
        <v>0</v>
      </c>
    </row>
    <row r="79" spans="1:13" ht="40" customHeight="1">
      <c r="A79" s="266" t="s">
        <v>296</v>
      </c>
      <c r="B79" s="266"/>
      <c r="C79" s="266"/>
      <c r="D79" s="266"/>
      <c r="E79" s="266"/>
      <c r="F79" s="266"/>
      <c r="G79" s="266"/>
      <c r="H79" s="266"/>
      <c r="I79" s="266"/>
      <c r="J79" s="266"/>
      <c r="K79" s="266"/>
      <c r="L79" s="266"/>
      <c r="M79" s="266"/>
    </row>
    <row r="80" spans="1:13" ht="40" customHeight="1">
      <c r="A80" s="266" t="s">
        <v>297</v>
      </c>
      <c r="B80" s="266"/>
      <c r="C80" s="266"/>
      <c r="D80" s="266"/>
      <c r="E80" s="266"/>
      <c r="F80" s="266"/>
      <c r="G80" s="266"/>
      <c r="H80" s="266"/>
      <c r="I80" s="266"/>
      <c r="J80" s="266"/>
      <c r="K80" s="266"/>
      <c r="L80" s="266"/>
      <c r="M80" s="266"/>
    </row>
    <row r="81" spans="1:1" ht="15.5">
      <c r="A81" s="257"/>
    </row>
  </sheetData>
  <mergeCells count="2">
    <mergeCell ref="A80:M80"/>
    <mergeCell ref="A79:M79"/>
  </mergeCells>
  <phoneticPr fontId="4"/>
  <pageMargins left="0.59055118110236227" right="0.19685039370078741" top="0.31496062992125984" bottom="0.31496062992125984" header="0.31496062992125984" footer="0.31496062992125984"/>
  <pageSetup paperSize="9" scale="42" orientation="landscape" r:id="rId1"/>
  <headerFooter alignWithMargins="0">
    <oddFooter>&amp;L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A1:M55"/>
  <sheetViews>
    <sheetView view="pageBreakPreview" zoomScaleNormal="85" zoomScaleSheetLayoutView="100" workbookViewId="0">
      <selection activeCell="I1" sqref="I1"/>
    </sheetView>
  </sheetViews>
  <sheetFormatPr defaultColWidth="13" defaultRowHeight="16.5" customHeight="1"/>
  <cols>
    <col min="1" max="1" width="38.58203125" style="3" customWidth="1"/>
    <col min="2" max="3" width="8.33203125" style="2" bestFit="1" customWidth="1"/>
    <col min="4" max="5" width="8.33203125" style="1" bestFit="1" customWidth="1"/>
    <col min="6" max="7" width="8.33203125" style="2" bestFit="1" customWidth="1"/>
    <col min="8" max="11" width="10" style="2" bestFit="1" customWidth="1"/>
    <col min="12" max="12" width="10.08203125" style="2" bestFit="1" customWidth="1"/>
    <col min="13" max="13" width="10.08203125" style="1" bestFit="1" customWidth="1"/>
    <col min="14" max="16384" width="13" style="2"/>
  </cols>
  <sheetData>
    <row r="1" spans="1:13" ht="16.5" customHeight="1">
      <c r="A1" s="50" t="s">
        <v>298</v>
      </c>
    </row>
    <row r="2" spans="1:13" ht="35.25" customHeight="1">
      <c r="A2" s="206" t="s">
        <v>79</v>
      </c>
    </row>
    <row r="3" spans="1:13" ht="16.5" customHeight="1" thickBot="1">
      <c r="A3" s="66" t="s">
        <v>80</v>
      </c>
      <c r="B3" s="67">
        <v>2016</v>
      </c>
      <c r="C3" s="67">
        <v>2017</v>
      </c>
      <c r="D3" s="67">
        <v>2018</v>
      </c>
      <c r="E3" s="67">
        <v>2019</v>
      </c>
      <c r="F3" s="67">
        <v>2020</v>
      </c>
      <c r="G3" s="67">
        <v>2021</v>
      </c>
      <c r="H3" s="67" t="s">
        <v>44</v>
      </c>
      <c r="I3" s="67" t="s">
        <v>45</v>
      </c>
      <c r="J3" s="67" t="s">
        <v>46</v>
      </c>
      <c r="K3" s="67" t="s">
        <v>47</v>
      </c>
      <c r="L3" s="67" t="s">
        <v>48</v>
      </c>
      <c r="M3" s="68" t="s">
        <v>131</v>
      </c>
    </row>
    <row r="4" spans="1:13" ht="16.5" customHeight="1">
      <c r="A4" s="59" t="s">
        <v>299</v>
      </c>
      <c r="B4" s="38"/>
      <c r="C4" s="38"/>
      <c r="D4" s="38"/>
      <c r="E4" s="40"/>
      <c r="F4" s="38"/>
      <c r="G4" s="38"/>
      <c r="H4" s="40"/>
      <c r="I4" s="38"/>
      <c r="J4" s="38"/>
      <c r="K4" s="38"/>
      <c r="L4" s="38"/>
      <c r="M4" s="40"/>
    </row>
    <row r="5" spans="1:13" ht="16.5" customHeight="1">
      <c r="A5" s="14" t="s">
        <v>300</v>
      </c>
      <c r="B5" s="38">
        <v>1152255</v>
      </c>
      <c r="C5" s="38">
        <f>'1'!C4</f>
        <v>1178257</v>
      </c>
      <c r="D5" s="38">
        <v>1271747</v>
      </c>
      <c r="E5" s="38">
        <v>1381806</v>
      </c>
      <c r="F5" s="38">
        <v>1363037</v>
      </c>
      <c r="G5" s="38">
        <v>1479008</v>
      </c>
      <c r="H5" s="38">
        <v>1479008</v>
      </c>
      <c r="I5" s="38">
        <v>1902124</v>
      </c>
      <c r="J5" s="38">
        <v>2180817</v>
      </c>
      <c r="K5" s="38">
        <v>2103876</v>
      </c>
      <c r="L5" s="38">
        <v>2204806</v>
      </c>
      <c r="M5" s="40">
        <f>'1'!M4</f>
        <v>2504820</v>
      </c>
    </row>
    <row r="6" spans="1:13" ht="16.5" customHeight="1">
      <c r="A6" s="29" t="s">
        <v>301</v>
      </c>
      <c r="B6" s="35">
        <v>93414</v>
      </c>
      <c r="C6" s="35">
        <f>'1'!C19</f>
        <v>208660</v>
      </c>
      <c r="D6" s="35">
        <v>89692</v>
      </c>
      <c r="E6" s="35">
        <v>107823</v>
      </c>
      <c r="F6" s="35">
        <v>97870</v>
      </c>
      <c r="G6" s="35">
        <v>111535</v>
      </c>
      <c r="H6" s="35">
        <v>111814</v>
      </c>
      <c r="I6" s="35">
        <v>166775</v>
      </c>
      <c r="J6" s="35">
        <v>168827</v>
      </c>
      <c r="K6" s="35">
        <v>172893</v>
      </c>
      <c r="L6" s="35">
        <v>224192</v>
      </c>
      <c r="M6" s="36">
        <f>'1'!M19</f>
        <v>272415</v>
      </c>
    </row>
    <row r="7" spans="1:13" ht="16.5" customHeight="1">
      <c r="A7" s="28" t="s">
        <v>302</v>
      </c>
      <c r="B7" s="38">
        <v>1450564</v>
      </c>
      <c r="C7" s="38">
        <f>'1'!C33</f>
        <v>1664333</v>
      </c>
      <c r="D7" s="38">
        <v>1905209</v>
      </c>
      <c r="E7" s="38">
        <v>1992480</v>
      </c>
      <c r="F7" s="38">
        <v>1943379</v>
      </c>
      <c r="G7" s="38">
        <v>2401433</v>
      </c>
      <c r="H7" s="8">
        <v>2359663</v>
      </c>
      <c r="I7" s="8">
        <v>3041653</v>
      </c>
      <c r="J7" s="8">
        <v>3147027</v>
      </c>
      <c r="K7" s="8">
        <v>3415304</v>
      </c>
      <c r="L7" s="8">
        <v>3541415</v>
      </c>
      <c r="M7" s="24">
        <f>'1'!M33</f>
        <v>4415175</v>
      </c>
    </row>
    <row r="8" spans="1:13" ht="16.5" customHeight="1">
      <c r="A8" s="28"/>
      <c r="B8" s="38"/>
      <c r="C8" s="38"/>
      <c r="D8" s="38"/>
      <c r="E8" s="38"/>
      <c r="F8" s="38"/>
      <c r="G8" s="38"/>
      <c r="H8" s="40"/>
      <c r="I8" s="38"/>
      <c r="J8" s="38"/>
      <c r="K8" s="38"/>
      <c r="L8" s="38"/>
      <c r="M8" s="40"/>
    </row>
    <row r="9" spans="1:13" ht="16.5" customHeight="1">
      <c r="A9" s="59" t="s">
        <v>303</v>
      </c>
      <c r="B9" s="78"/>
      <c r="C9" s="78"/>
      <c r="D9" s="78"/>
      <c r="E9" s="78"/>
      <c r="F9" s="78"/>
      <c r="G9" s="78"/>
      <c r="H9" s="79"/>
      <c r="I9" s="78"/>
      <c r="J9" s="78"/>
      <c r="K9" s="78"/>
      <c r="L9" s="78"/>
      <c r="M9" s="79"/>
    </row>
    <row r="10" spans="1:13" ht="16.5" customHeight="1">
      <c r="A10" s="59" t="s">
        <v>304</v>
      </c>
      <c r="B10" s="38">
        <f>575746*0+583474</f>
        <v>583474</v>
      </c>
      <c r="C10" s="38">
        <v>548730</v>
      </c>
      <c r="D10" s="38"/>
      <c r="E10" s="38"/>
      <c r="F10" s="38"/>
      <c r="G10" s="38"/>
      <c r="H10" s="40"/>
      <c r="I10" s="38"/>
      <c r="J10" s="38"/>
      <c r="K10" s="38"/>
      <c r="L10" s="38"/>
      <c r="M10" s="40"/>
    </row>
    <row r="11" spans="1:13" ht="16.5" customHeight="1">
      <c r="A11" s="29" t="s">
        <v>305</v>
      </c>
      <c r="B11" s="76">
        <f>B10/B$5*100</f>
        <v>50.637575883810435</v>
      </c>
      <c r="C11" s="76">
        <f>C10/C$5*100</f>
        <v>46.571333758254781</v>
      </c>
      <c r="D11" s="76"/>
      <c r="E11" s="76"/>
      <c r="F11" s="76"/>
      <c r="G11" s="76"/>
      <c r="H11" s="77"/>
      <c r="I11" s="76"/>
      <c r="J11" s="76"/>
      <c r="K11" s="76"/>
      <c r="L11" s="76"/>
      <c r="M11" s="77"/>
    </row>
    <row r="12" spans="1:13" ht="16.5" customHeight="1">
      <c r="A12" s="59" t="s">
        <v>306</v>
      </c>
      <c r="B12" s="38">
        <v>315322</v>
      </c>
      <c r="C12" s="38">
        <v>349698</v>
      </c>
      <c r="D12" s="38"/>
      <c r="E12" s="38"/>
      <c r="F12" s="38"/>
      <c r="G12" s="38"/>
      <c r="H12" s="40"/>
      <c r="I12" s="38"/>
      <c r="J12" s="38"/>
      <c r="K12" s="38"/>
      <c r="L12" s="38"/>
      <c r="M12" s="40"/>
    </row>
    <row r="13" spans="1:13" ht="16.5" customHeight="1">
      <c r="A13" s="29" t="s">
        <v>305</v>
      </c>
      <c r="B13" s="76">
        <f>B12/B$5*100</f>
        <v>27.365643889590412</v>
      </c>
      <c r="C13" s="76">
        <f>C12/C$5*100</f>
        <v>29.679263522304556</v>
      </c>
      <c r="D13" s="76"/>
      <c r="E13" s="76"/>
      <c r="F13" s="76"/>
      <c r="G13" s="76"/>
      <c r="H13" s="77"/>
      <c r="I13" s="76"/>
      <c r="J13" s="76"/>
      <c r="K13" s="76"/>
      <c r="L13" s="76"/>
      <c r="M13" s="77"/>
    </row>
    <row r="14" spans="1:13" ht="16.5" customHeight="1">
      <c r="A14" s="59" t="s">
        <v>307</v>
      </c>
      <c r="B14" s="38">
        <f>222359*0+219893</f>
        <v>219893</v>
      </c>
      <c r="C14" s="38">
        <v>247693</v>
      </c>
      <c r="D14" s="38"/>
      <c r="E14" s="38"/>
      <c r="F14" s="38"/>
      <c r="G14" s="38"/>
      <c r="H14" s="40"/>
      <c r="I14" s="38"/>
      <c r="J14" s="38"/>
      <c r="K14" s="38"/>
      <c r="L14" s="38"/>
      <c r="M14" s="40"/>
    </row>
    <row r="15" spans="1:13" ht="16.5" customHeight="1">
      <c r="A15" s="29" t="s">
        <v>305</v>
      </c>
      <c r="B15" s="76">
        <f>B14/B$5*100</f>
        <v>19.083709769104928</v>
      </c>
      <c r="C15" s="76">
        <f>C14/C$5*100</f>
        <v>21.021984168139888</v>
      </c>
      <c r="D15" s="76"/>
      <c r="E15" s="76"/>
      <c r="F15" s="76"/>
      <c r="G15" s="76"/>
      <c r="H15" s="77"/>
      <c r="I15" s="76"/>
      <c r="J15" s="76"/>
      <c r="K15" s="76"/>
      <c r="L15" s="76"/>
      <c r="M15" s="77"/>
    </row>
    <row r="16" spans="1:13" ht="16.5" customHeight="1">
      <c r="A16" s="59" t="s">
        <v>308</v>
      </c>
      <c r="B16" s="38">
        <f>38828*0+33566</f>
        <v>33566</v>
      </c>
      <c r="C16" s="38">
        <v>32136</v>
      </c>
      <c r="D16" s="38"/>
      <c r="E16" s="38"/>
      <c r="F16" s="38"/>
      <c r="G16" s="38"/>
      <c r="H16" s="40"/>
      <c r="I16" s="38"/>
      <c r="J16" s="38"/>
      <c r="K16" s="38"/>
      <c r="L16" s="38"/>
      <c r="M16" s="40"/>
    </row>
    <row r="17" spans="1:13" ht="16.5" customHeight="1">
      <c r="A17" s="29" t="s">
        <v>305</v>
      </c>
      <c r="B17" s="76">
        <f>B16/B$5*100</f>
        <v>2.9130704574942179</v>
      </c>
      <c r="C17" s="76">
        <f>C16/C$5*100</f>
        <v>2.7274185513007776</v>
      </c>
      <c r="D17" s="76"/>
      <c r="E17" s="76"/>
      <c r="F17" s="76"/>
      <c r="G17" s="76"/>
      <c r="H17" s="77"/>
      <c r="I17" s="76"/>
      <c r="J17" s="76"/>
      <c r="K17" s="76"/>
      <c r="L17" s="76"/>
      <c r="M17" s="77"/>
    </row>
    <row r="18" spans="1:13" ht="16.5" customHeight="1">
      <c r="A18" s="28"/>
      <c r="B18" s="78"/>
      <c r="C18" s="78"/>
      <c r="D18" s="78"/>
      <c r="E18" s="78"/>
      <c r="F18" s="78"/>
      <c r="G18" s="78"/>
      <c r="H18" s="79"/>
      <c r="I18" s="78"/>
      <c r="J18" s="78"/>
      <c r="K18" s="78"/>
      <c r="L18" s="78"/>
      <c r="M18" s="79"/>
    </row>
    <row r="19" spans="1:13" ht="16.5" customHeight="1">
      <c r="A19" s="59" t="s">
        <v>309</v>
      </c>
      <c r="B19" s="78"/>
      <c r="C19" s="78"/>
      <c r="D19" s="78"/>
      <c r="E19" s="78"/>
      <c r="F19" s="78"/>
      <c r="G19" s="78"/>
      <c r="H19" s="79"/>
      <c r="I19" s="78"/>
      <c r="J19" s="78"/>
      <c r="K19" s="78"/>
      <c r="L19" s="78"/>
      <c r="M19" s="79"/>
    </row>
    <row r="20" spans="1:13" ht="16.5" customHeight="1">
      <c r="A20" s="59" t="s">
        <v>304</v>
      </c>
      <c r="B20" s="38"/>
      <c r="C20" s="38">
        <v>528225</v>
      </c>
      <c r="D20" s="38">
        <v>437639</v>
      </c>
      <c r="E20" s="38"/>
      <c r="F20" s="38"/>
      <c r="G20" s="38"/>
      <c r="H20" s="40"/>
      <c r="I20" s="38"/>
      <c r="J20" s="38"/>
      <c r="K20" s="38"/>
      <c r="L20" s="38"/>
      <c r="M20" s="40"/>
    </row>
    <row r="21" spans="1:13" ht="16.5" customHeight="1">
      <c r="A21" s="29" t="s">
        <v>305</v>
      </c>
      <c r="B21" s="76"/>
      <c r="C21" s="76">
        <f>C20/C$5*100</f>
        <v>44.831051290168446</v>
      </c>
      <c r="D21" s="76">
        <v>34.41242637096844</v>
      </c>
      <c r="E21" s="76"/>
      <c r="F21" s="76"/>
      <c r="G21" s="76"/>
      <c r="H21" s="77"/>
      <c r="I21" s="76"/>
      <c r="J21" s="76"/>
      <c r="K21" s="76"/>
      <c r="L21" s="76"/>
      <c r="M21" s="77"/>
    </row>
    <row r="22" spans="1:13" ht="16.5" customHeight="1">
      <c r="A22" s="59" t="s">
        <v>310</v>
      </c>
      <c r="B22" s="38"/>
      <c r="C22" s="38">
        <v>42850</v>
      </c>
      <c r="D22" s="38">
        <v>77578</v>
      </c>
      <c r="E22" s="38"/>
      <c r="F22" s="38"/>
      <c r="G22" s="38"/>
      <c r="H22" s="40"/>
      <c r="I22" s="38"/>
      <c r="J22" s="38"/>
      <c r="K22" s="38"/>
      <c r="L22" s="38"/>
      <c r="M22" s="40"/>
    </row>
    <row r="23" spans="1:13" ht="16.5" customHeight="1">
      <c r="A23" s="29" t="s">
        <v>305</v>
      </c>
      <c r="B23" s="76"/>
      <c r="C23" s="76">
        <f>C22/C$5*100+0.1</f>
        <v>3.7367278106559101</v>
      </c>
      <c r="D23" s="76">
        <v>6.1001126796446146</v>
      </c>
      <c r="E23" s="76"/>
      <c r="F23" s="76"/>
      <c r="G23" s="76"/>
      <c r="H23" s="77"/>
      <c r="I23" s="76"/>
      <c r="J23" s="76"/>
      <c r="K23" s="76"/>
      <c r="L23" s="76"/>
      <c r="M23" s="77"/>
    </row>
    <row r="24" spans="1:13" ht="16.5" customHeight="1">
      <c r="A24" s="59" t="s">
        <v>306</v>
      </c>
      <c r="B24" s="38"/>
      <c r="C24" s="38">
        <v>329850</v>
      </c>
      <c r="D24" s="38">
        <v>333235</v>
      </c>
      <c r="E24" s="38"/>
      <c r="F24" s="38"/>
      <c r="G24" s="38"/>
      <c r="H24" s="40"/>
      <c r="I24" s="38"/>
      <c r="J24" s="38"/>
      <c r="K24" s="38"/>
      <c r="L24" s="38"/>
      <c r="M24" s="40"/>
    </row>
    <row r="25" spans="1:13" ht="16.5" customHeight="1">
      <c r="A25" s="29" t="s">
        <v>305</v>
      </c>
      <c r="B25" s="76"/>
      <c r="C25" s="76">
        <f>C24/C$5*100</f>
        <v>27.994741384944032</v>
      </c>
      <c r="D25" s="76">
        <v>26.202931872455764</v>
      </c>
      <c r="E25" s="76"/>
      <c r="F25" s="76"/>
      <c r="G25" s="76"/>
      <c r="H25" s="77"/>
      <c r="I25" s="76"/>
      <c r="J25" s="76"/>
      <c r="K25" s="76"/>
      <c r="L25" s="76"/>
      <c r="M25" s="77"/>
    </row>
    <row r="26" spans="1:13" ht="16.5" customHeight="1">
      <c r="A26" s="59" t="s">
        <v>307</v>
      </c>
      <c r="B26" s="38"/>
      <c r="C26" s="38">
        <v>247693</v>
      </c>
      <c r="D26" s="38">
        <v>370953</v>
      </c>
      <c r="E26" s="38"/>
      <c r="F26" s="38"/>
      <c r="G26" s="38"/>
      <c r="H26" s="40"/>
      <c r="I26" s="38"/>
      <c r="J26" s="38"/>
      <c r="K26" s="38"/>
      <c r="L26" s="38"/>
      <c r="M26" s="40"/>
    </row>
    <row r="27" spans="1:13" ht="16.5" customHeight="1">
      <c r="A27" s="29" t="s">
        <v>305</v>
      </c>
      <c r="B27" s="76"/>
      <c r="C27" s="76">
        <f>C26/C$5*100</f>
        <v>21.021984168139888</v>
      </c>
      <c r="D27" s="76">
        <v>29.168773348787141</v>
      </c>
      <c r="E27" s="76"/>
      <c r="F27" s="76"/>
      <c r="G27" s="76"/>
      <c r="H27" s="77"/>
      <c r="I27" s="76"/>
      <c r="J27" s="76"/>
      <c r="K27" s="76"/>
      <c r="L27" s="76"/>
      <c r="M27" s="77"/>
    </row>
    <row r="28" spans="1:13" ht="16.5" customHeight="1">
      <c r="A28" s="59" t="s">
        <v>308</v>
      </c>
      <c r="B28" s="38"/>
      <c r="C28" s="38">
        <v>29639</v>
      </c>
      <c r="D28" s="38">
        <v>52342</v>
      </c>
      <c r="E28" s="38"/>
      <c r="F28" s="38"/>
      <c r="G28" s="38"/>
      <c r="H28" s="40"/>
      <c r="I28" s="38"/>
      <c r="J28" s="38"/>
      <c r="K28" s="38"/>
      <c r="L28" s="38"/>
      <c r="M28" s="40"/>
    </row>
    <row r="29" spans="1:13" ht="16.5" customHeight="1">
      <c r="A29" s="29" t="s">
        <v>305</v>
      </c>
      <c r="B29" s="76"/>
      <c r="C29" s="76">
        <f>C28/C$5*100</f>
        <v>2.5154953460917269</v>
      </c>
      <c r="D29" s="76">
        <v>4.1157557281440411</v>
      </c>
      <c r="E29" s="76"/>
      <c r="F29" s="76"/>
      <c r="G29" s="76"/>
      <c r="H29" s="77"/>
      <c r="I29" s="76"/>
      <c r="J29" s="76"/>
      <c r="K29" s="76"/>
      <c r="L29" s="76"/>
      <c r="M29" s="77"/>
    </row>
    <row r="30" spans="1:13" ht="16.5" customHeight="1">
      <c r="A30" s="28"/>
      <c r="B30" s="78"/>
      <c r="C30" s="78"/>
      <c r="D30" s="78"/>
      <c r="E30" s="78"/>
      <c r="F30" s="78"/>
      <c r="G30" s="78"/>
      <c r="H30" s="79"/>
      <c r="I30" s="78"/>
      <c r="J30" s="78"/>
      <c r="K30" s="78"/>
      <c r="L30" s="78"/>
      <c r="M30" s="79"/>
    </row>
    <row r="31" spans="1:13" ht="16.5" customHeight="1">
      <c r="A31" s="59" t="s">
        <v>311</v>
      </c>
      <c r="B31" s="78"/>
      <c r="C31" s="78"/>
      <c r="D31" s="78"/>
      <c r="E31" s="78"/>
      <c r="F31" s="78"/>
      <c r="G31" s="78"/>
      <c r="H31" s="79"/>
      <c r="I31" s="78"/>
      <c r="J31" s="78"/>
      <c r="K31" s="78"/>
      <c r="L31" s="78"/>
      <c r="M31" s="79"/>
    </row>
    <row r="32" spans="1:13" ht="16.5" customHeight="1">
      <c r="A32" s="59" t="s">
        <v>304</v>
      </c>
      <c r="B32" s="38"/>
      <c r="C32" s="38"/>
      <c r="D32" s="38">
        <v>417757</v>
      </c>
      <c r="E32" s="38">
        <v>433406</v>
      </c>
      <c r="F32" s="38">
        <v>395456</v>
      </c>
      <c r="G32" s="38">
        <v>407126</v>
      </c>
      <c r="H32" s="38">
        <v>407126</v>
      </c>
      <c r="I32" s="38">
        <v>507826</v>
      </c>
      <c r="J32" s="38">
        <v>578759</v>
      </c>
      <c r="K32" s="38">
        <v>565649</v>
      </c>
      <c r="L32" s="38">
        <v>559639</v>
      </c>
      <c r="M32" s="40">
        <v>593201</v>
      </c>
    </row>
    <row r="33" spans="1:13" ht="16.5" customHeight="1">
      <c r="A33" s="29" t="s">
        <v>305</v>
      </c>
      <c r="B33" s="76"/>
      <c r="C33" s="76"/>
      <c r="D33" s="76">
        <v>32.9</v>
      </c>
      <c r="E33" s="76">
        <v>31.4</v>
      </c>
      <c r="F33" s="76">
        <v>29</v>
      </c>
      <c r="G33" s="76">
        <v>27.5</v>
      </c>
      <c r="H33" s="76">
        <v>27.5</v>
      </c>
      <c r="I33" s="76">
        <v>26.7</v>
      </c>
      <c r="J33" s="76">
        <v>26.5</v>
      </c>
      <c r="K33" s="76">
        <v>26.9</v>
      </c>
      <c r="L33" s="76">
        <v>25.4</v>
      </c>
      <c r="M33" s="77">
        <v>23.7</v>
      </c>
    </row>
    <row r="34" spans="1:13" ht="16.5" customHeight="1">
      <c r="A34" s="59" t="s">
        <v>310</v>
      </c>
      <c r="B34" s="38"/>
      <c r="C34" s="38"/>
      <c r="D34" s="38">
        <v>77355</v>
      </c>
      <c r="E34" s="38">
        <v>76467</v>
      </c>
      <c r="F34" s="38">
        <v>77938</v>
      </c>
      <c r="G34" s="38">
        <v>81345</v>
      </c>
      <c r="H34" s="38">
        <v>81345</v>
      </c>
      <c r="I34" s="38">
        <v>130769</v>
      </c>
      <c r="J34" s="38">
        <v>169543</v>
      </c>
      <c r="K34" s="38">
        <v>180511</v>
      </c>
      <c r="L34" s="38">
        <v>189472</v>
      </c>
      <c r="M34" s="40">
        <v>224623</v>
      </c>
    </row>
    <row r="35" spans="1:13" ht="16.5" customHeight="1">
      <c r="A35" s="29" t="s">
        <v>305</v>
      </c>
      <c r="B35" s="76"/>
      <c r="C35" s="76"/>
      <c r="D35" s="76">
        <v>6.1</v>
      </c>
      <c r="E35" s="76">
        <v>5.5</v>
      </c>
      <c r="F35" s="76">
        <v>5.7</v>
      </c>
      <c r="G35" s="76">
        <v>5.5</v>
      </c>
      <c r="H35" s="76">
        <v>5.5</v>
      </c>
      <c r="I35" s="76">
        <v>6.9</v>
      </c>
      <c r="J35" s="76">
        <v>7.8</v>
      </c>
      <c r="K35" s="76">
        <v>8.6</v>
      </c>
      <c r="L35" s="76">
        <v>8.6</v>
      </c>
      <c r="M35" s="77">
        <v>9</v>
      </c>
    </row>
    <row r="36" spans="1:13" ht="16.5" customHeight="1">
      <c r="A36" s="59" t="s">
        <v>306</v>
      </c>
      <c r="B36" s="38"/>
      <c r="C36" s="38"/>
      <c r="D36" s="38">
        <v>277548</v>
      </c>
      <c r="E36" s="38">
        <v>272807</v>
      </c>
      <c r="F36" s="38">
        <v>219668</v>
      </c>
      <c r="G36" s="38">
        <v>199253</v>
      </c>
      <c r="H36" s="38">
        <v>199253</v>
      </c>
      <c r="I36" s="38">
        <v>248446</v>
      </c>
      <c r="J36" s="38">
        <v>200573</v>
      </c>
      <c r="K36" s="38">
        <v>184211</v>
      </c>
      <c r="L36" s="38">
        <v>223637</v>
      </c>
      <c r="M36" s="40">
        <v>262903</v>
      </c>
    </row>
    <row r="37" spans="1:13" ht="16.5" customHeight="1">
      <c r="A37" s="29" t="s">
        <v>305</v>
      </c>
      <c r="B37" s="76"/>
      <c r="C37" s="76"/>
      <c r="D37" s="76">
        <v>21.8</v>
      </c>
      <c r="E37" s="76">
        <v>19.7</v>
      </c>
      <c r="F37" s="76">
        <v>16.100000000000001</v>
      </c>
      <c r="G37" s="76">
        <v>13.5</v>
      </c>
      <c r="H37" s="76">
        <v>13.5</v>
      </c>
      <c r="I37" s="76">
        <v>13.1</v>
      </c>
      <c r="J37" s="76">
        <v>9.1999999999999993</v>
      </c>
      <c r="K37" s="76">
        <v>8.6999999999999993</v>
      </c>
      <c r="L37" s="76">
        <v>10.1</v>
      </c>
      <c r="M37" s="77">
        <v>10.5</v>
      </c>
    </row>
    <row r="38" spans="1:13" ht="16.5" customHeight="1">
      <c r="A38" s="59" t="s">
        <v>312</v>
      </c>
      <c r="B38" s="38"/>
      <c r="C38" s="38"/>
      <c r="D38" s="38">
        <v>442822</v>
      </c>
      <c r="E38" s="38">
        <v>537502</v>
      </c>
      <c r="F38" s="38">
        <v>597698</v>
      </c>
      <c r="G38" s="38">
        <v>740227</v>
      </c>
      <c r="H38" s="38">
        <v>740227</v>
      </c>
      <c r="I38" s="38">
        <v>965345</v>
      </c>
      <c r="J38" s="38">
        <v>1173355</v>
      </c>
      <c r="K38" s="38">
        <v>1121662</v>
      </c>
      <c r="L38" s="38">
        <v>1176499</v>
      </c>
      <c r="M38" s="40">
        <v>1370304</v>
      </c>
    </row>
    <row r="39" spans="1:13" ht="16.5" customHeight="1">
      <c r="A39" s="29" t="s">
        <v>305</v>
      </c>
      <c r="B39" s="76"/>
      <c r="C39" s="76"/>
      <c r="D39" s="76">
        <v>34.799999999999997</v>
      </c>
      <c r="E39" s="76">
        <v>38.9</v>
      </c>
      <c r="F39" s="76">
        <v>43.9</v>
      </c>
      <c r="G39" s="76">
        <v>50</v>
      </c>
      <c r="H39" s="76">
        <v>50</v>
      </c>
      <c r="I39" s="76">
        <v>50.7</v>
      </c>
      <c r="J39" s="76">
        <v>53.8</v>
      </c>
      <c r="K39" s="76">
        <v>53.3</v>
      </c>
      <c r="L39" s="76">
        <v>53.4</v>
      </c>
      <c r="M39" s="77">
        <v>54.7</v>
      </c>
    </row>
    <row r="40" spans="1:13" ht="16.5" customHeight="1">
      <c r="A40" s="59" t="s">
        <v>308</v>
      </c>
      <c r="B40" s="38"/>
      <c r="C40" s="38"/>
      <c r="D40" s="38">
        <v>56265</v>
      </c>
      <c r="E40" s="38">
        <v>61624</v>
      </c>
      <c r="F40" s="38">
        <v>72277</v>
      </c>
      <c r="G40" s="38">
        <v>51057</v>
      </c>
      <c r="H40" s="38">
        <v>51057</v>
      </c>
      <c r="I40" s="38">
        <v>49738</v>
      </c>
      <c r="J40" s="38">
        <v>58587</v>
      </c>
      <c r="K40" s="38">
        <v>51843</v>
      </c>
      <c r="L40" s="38">
        <v>55559</v>
      </c>
      <c r="M40" s="40">
        <v>53789</v>
      </c>
    </row>
    <row r="41" spans="1:13" ht="16.5" customHeight="1" thickBot="1">
      <c r="A41" s="87" t="s">
        <v>305</v>
      </c>
      <c r="B41" s="70"/>
      <c r="C41" s="70"/>
      <c r="D41" s="70">
        <v>4.4000000000000004</v>
      </c>
      <c r="E41" s="70">
        <v>4.5</v>
      </c>
      <c r="F41" s="70">
        <v>5.3</v>
      </c>
      <c r="G41" s="70">
        <v>3.5</v>
      </c>
      <c r="H41" s="70">
        <v>3.5</v>
      </c>
      <c r="I41" s="70">
        <v>2.6</v>
      </c>
      <c r="J41" s="70">
        <v>2.7</v>
      </c>
      <c r="K41" s="70">
        <v>2.5</v>
      </c>
      <c r="L41" s="70">
        <v>2.5</v>
      </c>
      <c r="M41" s="195">
        <v>2.1</v>
      </c>
    </row>
    <row r="42" spans="1:13" ht="34" customHeight="1">
      <c r="A42" s="267" t="s">
        <v>313</v>
      </c>
      <c r="B42" s="267"/>
      <c r="C42" s="267"/>
      <c r="D42" s="267"/>
      <c r="E42" s="267"/>
      <c r="F42" s="267"/>
      <c r="G42" s="267"/>
      <c r="H42" s="267"/>
      <c r="I42" s="267"/>
      <c r="J42" s="267"/>
      <c r="K42" s="267"/>
      <c r="L42" s="267"/>
      <c r="M42" s="267"/>
    </row>
    <row r="43" spans="1:13" ht="34" customHeight="1">
      <c r="A43" s="270" t="s">
        <v>314</v>
      </c>
      <c r="B43" s="270"/>
      <c r="C43" s="270"/>
      <c r="D43" s="270"/>
      <c r="E43" s="270"/>
      <c r="F43" s="270"/>
      <c r="G43" s="270"/>
      <c r="H43" s="270"/>
      <c r="I43" s="270"/>
      <c r="J43" s="270"/>
      <c r="K43" s="270"/>
      <c r="L43" s="270"/>
      <c r="M43" s="270"/>
    </row>
    <row r="44" spans="1:13" ht="34" customHeight="1">
      <c r="A44" s="269"/>
      <c r="B44" s="269"/>
      <c r="C44" s="269"/>
      <c r="D44" s="269"/>
      <c r="E44" s="269"/>
      <c r="F44" s="269"/>
      <c r="G44" s="269"/>
      <c r="H44" s="269"/>
      <c r="I44" s="269"/>
      <c r="J44" s="269"/>
      <c r="K44" s="269"/>
      <c r="L44" s="269"/>
      <c r="M44" s="269"/>
    </row>
    <row r="45" spans="1:13" ht="34" customHeight="1">
      <c r="A45" s="268" t="s">
        <v>315</v>
      </c>
      <c r="B45" s="268"/>
      <c r="C45" s="268"/>
      <c r="D45" s="268"/>
      <c r="E45" s="268"/>
      <c r="F45" s="268"/>
      <c r="G45" s="268"/>
      <c r="H45" s="268"/>
      <c r="I45" s="268"/>
      <c r="J45" s="268"/>
      <c r="K45" s="268"/>
      <c r="L45" s="268"/>
      <c r="M45" s="268"/>
    </row>
    <row r="46" spans="1:13" s="3" customFormat="1" ht="34" customHeight="1">
      <c r="A46" s="266" t="s">
        <v>316</v>
      </c>
      <c r="B46" s="266"/>
      <c r="C46" s="266"/>
      <c r="D46" s="266"/>
      <c r="E46" s="266"/>
      <c r="F46" s="266"/>
      <c r="G46" s="266"/>
      <c r="H46" s="266"/>
      <c r="I46" s="266"/>
      <c r="J46" s="266"/>
      <c r="K46" s="266"/>
      <c r="L46" s="266"/>
      <c r="M46" s="266"/>
    </row>
    <row r="47" spans="1:13" ht="34" customHeight="1">
      <c r="A47" s="266" t="s">
        <v>317</v>
      </c>
      <c r="B47" s="266"/>
      <c r="C47" s="266"/>
      <c r="D47" s="266"/>
      <c r="E47" s="266"/>
      <c r="F47" s="266"/>
      <c r="G47" s="266"/>
      <c r="H47" s="266"/>
      <c r="I47" s="266"/>
      <c r="J47" s="266"/>
      <c r="K47" s="266"/>
      <c r="L47" s="266"/>
      <c r="M47" s="266"/>
    </row>
    <row r="48" spans="1:13" ht="34" customHeight="1">
      <c r="A48" s="266" t="s">
        <v>318</v>
      </c>
      <c r="B48" s="266"/>
      <c r="C48" s="266"/>
      <c r="D48" s="266"/>
      <c r="E48" s="266"/>
      <c r="F48" s="266"/>
      <c r="G48" s="266"/>
      <c r="H48" s="266"/>
      <c r="I48" s="266"/>
      <c r="J48" s="266"/>
      <c r="K48" s="266"/>
      <c r="L48" s="266"/>
      <c r="M48" s="266"/>
    </row>
    <row r="49" spans="1:13" ht="34" customHeight="1">
      <c r="A49" s="266" t="s">
        <v>319</v>
      </c>
      <c r="B49" s="266"/>
      <c r="C49" s="266"/>
      <c r="D49" s="266"/>
      <c r="E49" s="266"/>
      <c r="F49" s="266"/>
      <c r="G49" s="266"/>
      <c r="H49" s="266"/>
      <c r="I49" s="266"/>
      <c r="J49" s="266"/>
      <c r="K49" s="266"/>
      <c r="L49" s="266"/>
      <c r="M49" s="266"/>
    </row>
    <row r="50" spans="1:13" ht="34" customHeight="1">
      <c r="A50" s="266" t="s">
        <v>320</v>
      </c>
      <c r="B50" s="266"/>
      <c r="C50" s="266"/>
      <c r="D50" s="266"/>
      <c r="E50" s="266"/>
      <c r="F50" s="266"/>
      <c r="G50" s="266"/>
      <c r="H50" s="266"/>
      <c r="I50" s="266"/>
      <c r="J50" s="266"/>
      <c r="K50" s="266"/>
      <c r="L50" s="266"/>
      <c r="M50" s="266"/>
    </row>
    <row r="51" spans="1:13" ht="34" customHeight="1">
      <c r="A51" s="266" t="s">
        <v>321</v>
      </c>
      <c r="B51" s="266"/>
      <c r="C51" s="266"/>
      <c r="D51" s="266"/>
      <c r="E51" s="266"/>
      <c r="F51" s="266"/>
      <c r="G51" s="266"/>
      <c r="H51" s="266"/>
      <c r="I51" s="266"/>
      <c r="J51" s="266"/>
      <c r="K51" s="266"/>
      <c r="L51" s="266"/>
      <c r="M51" s="266"/>
    </row>
    <row r="52" spans="1:13" ht="34" customHeight="1">
      <c r="A52" s="266" t="s">
        <v>322</v>
      </c>
      <c r="B52" s="266"/>
      <c r="C52" s="266"/>
      <c r="D52" s="266"/>
      <c r="E52" s="266"/>
      <c r="F52" s="266"/>
      <c r="G52" s="266"/>
      <c r="H52" s="266"/>
      <c r="I52" s="266"/>
      <c r="J52" s="266"/>
      <c r="K52" s="266"/>
      <c r="L52" s="266"/>
      <c r="M52" s="266"/>
    </row>
    <row r="53" spans="1:13" ht="34" customHeight="1">
      <c r="A53" s="266" t="s">
        <v>323</v>
      </c>
      <c r="B53" s="266"/>
      <c r="C53" s="266"/>
      <c r="D53" s="266"/>
      <c r="E53" s="266"/>
      <c r="F53" s="266"/>
      <c r="G53" s="266"/>
      <c r="H53" s="266"/>
      <c r="I53" s="266"/>
      <c r="J53" s="266"/>
      <c r="K53" s="266"/>
      <c r="L53" s="266"/>
      <c r="M53" s="266"/>
    </row>
    <row r="54" spans="1:13" ht="16.5" customHeight="1">
      <c r="A54" s="133"/>
    </row>
    <row r="55" spans="1:13" ht="16.5" customHeight="1">
      <c r="A55" s="133"/>
    </row>
  </sheetData>
  <mergeCells count="12">
    <mergeCell ref="A53:M53"/>
    <mergeCell ref="A52:M52"/>
    <mergeCell ref="A51:M51"/>
    <mergeCell ref="A50:M50"/>
    <mergeCell ref="A49:M49"/>
    <mergeCell ref="A42:M42"/>
    <mergeCell ref="A48:M48"/>
    <mergeCell ref="A47:M47"/>
    <mergeCell ref="A46:M46"/>
    <mergeCell ref="A45:M45"/>
    <mergeCell ref="A44:M44"/>
    <mergeCell ref="A43:M43"/>
  </mergeCells>
  <phoneticPr fontId="4"/>
  <pageMargins left="0.75" right="0.75" top="0.62" bottom="0.79" header="0.51200000000000001" footer="0.51200000000000001"/>
  <pageSetup paperSize="9" scale="47" orientation="landscape" r:id="rId1"/>
  <headerFooter alignWithMargins="0">
    <oddFooter>&amp;L
&amp;A</oddFooter>
  </headerFooter>
  <ignoredErrors>
    <ignoredError sqref="B14 B16"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5"/>
  <sheetViews>
    <sheetView showGridLines="0" view="pageBreakPreview" zoomScaleNormal="90" zoomScaleSheetLayoutView="100" workbookViewId="0">
      <pane ySplit="1" topLeftCell="A2" activePane="bottomLeft" state="frozen"/>
      <selection pane="bottomLeft" activeCell="F24" sqref="F24"/>
    </sheetView>
  </sheetViews>
  <sheetFormatPr defaultColWidth="13" defaultRowHeight="16.5" customHeight="1"/>
  <cols>
    <col min="1" max="1" width="21.58203125" style="88" customWidth="1"/>
    <col min="2" max="5" width="11.33203125" style="2" customWidth="1"/>
    <col min="6" max="6" width="13" style="2"/>
    <col min="7" max="7" width="20.58203125" style="2" customWidth="1"/>
    <col min="8" max="11" width="10.58203125" style="2" customWidth="1"/>
    <col min="12" max="16384" width="13" style="2"/>
  </cols>
  <sheetData>
    <row r="1" spans="1:5" ht="16.5" customHeight="1">
      <c r="A1" s="50" t="s">
        <v>324</v>
      </c>
    </row>
    <row r="2" spans="1:5" ht="16.5" customHeight="1">
      <c r="A2" s="50"/>
    </row>
    <row r="3" spans="1:5" ht="16.5" customHeight="1">
      <c r="A3" s="28" t="s">
        <v>325</v>
      </c>
      <c r="B3" s="89" t="s">
        <v>326</v>
      </c>
      <c r="C3" s="89" t="s">
        <v>327</v>
      </c>
      <c r="D3" s="89" t="s">
        <v>328</v>
      </c>
      <c r="E3" s="89" t="s">
        <v>329</v>
      </c>
    </row>
    <row r="4" spans="1:5" ht="16.5" customHeight="1" thickBot="1">
      <c r="A4" s="82" t="s">
        <v>330</v>
      </c>
      <c r="B4" s="90" t="s">
        <v>331</v>
      </c>
      <c r="C4" s="90" t="s">
        <v>332</v>
      </c>
      <c r="D4" s="90" t="s">
        <v>333</v>
      </c>
      <c r="E4" s="90" t="s">
        <v>334</v>
      </c>
    </row>
    <row r="5" spans="1:5" ht="16.5" customHeight="1">
      <c r="A5" s="59" t="s">
        <v>335</v>
      </c>
      <c r="B5" s="24"/>
      <c r="C5" s="24"/>
      <c r="D5" s="24"/>
      <c r="E5" s="24"/>
    </row>
    <row r="6" spans="1:5" ht="16.5" customHeight="1">
      <c r="A6" s="29" t="s">
        <v>336</v>
      </c>
      <c r="B6" s="18">
        <v>143051</v>
      </c>
      <c r="C6" s="18">
        <v>141915</v>
      </c>
      <c r="D6" s="18">
        <v>139618</v>
      </c>
      <c r="E6" s="18">
        <v>135055</v>
      </c>
    </row>
    <row r="7" spans="1:5" ht="16.5" customHeight="1">
      <c r="A7" s="28" t="s">
        <v>337</v>
      </c>
      <c r="B7" s="49">
        <v>44080</v>
      </c>
      <c r="C7" s="49">
        <v>50779</v>
      </c>
      <c r="D7" s="49">
        <v>48094</v>
      </c>
      <c r="E7" s="49">
        <v>46519</v>
      </c>
    </row>
    <row r="8" spans="1:5" ht="16.5" customHeight="1">
      <c r="A8" s="29" t="s">
        <v>338</v>
      </c>
      <c r="B8" s="18">
        <v>55013</v>
      </c>
      <c r="C8" s="18">
        <v>55932</v>
      </c>
      <c r="D8" s="18">
        <v>54450</v>
      </c>
      <c r="E8" s="18">
        <v>58242</v>
      </c>
    </row>
    <row r="9" spans="1:5" ht="16.5" customHeight="1">
      <c r="A9" s="28" t="s">
        <v>339</v>
      </c>
      <c r="B9" s="8">
        <v>262920</v>
      </c>
      <c r="C9" s="8">
        <v>309053</v>
      </c>
      <c r="D9" s="8">
        <v>323974</v>
      </c>
      <c r="E9" s="8">
        <v>280552</v>
      </c>
    </row>
    <row r="10" spans="1:5" ht="16.5" customHeight="1">
      <c r="A10" s="29" t="s">
        <v>56</v>
      </c>
      <c r="B10" s="18">
        <v>13745</v>
      </c>
      <c r="C10" s="18">
        <v>13013</v>
      </c>
      <c r="D10" s="18">
        <v>14907</v>
      </c>
      <c r="E10" s="18">
        <v>13894</v>
      </c>
    </row>
    <row r="11" spans="1:5" ht="16.5" customHeight="1" thickBot="1">
      <c r="A11" s="82"/>
      <c r="B11" s="130">
        <v>518809</v>
      </c>
      <c r="C11" s="130">
        <v>570692</v>
      </c>
      <c r="D11" s="130">
        <v>581043</v>
      </c>
      <c r="E11" s="130">
        <v>534262</v>
      </c>
    </row>
    <row r="12" spans="1:5" ht="16.5" customHeight="1">
      <c r="A12" s="86"/>
      <c r="B12" s="7"/>
      <c r="C12" s="7"/>
      <c r="D12" s="7"/>
      <c r="E12" s="7"/>
    </row>
    <row r="13" spans="1:5" ht="16.5" customHeight="1">
      <c r="A13" s="28" t="s">
        <v>340</v>
      </c>
      <c r="B13" s="89" t="s">
        <v>326</v>
      </c>
      <c r="C13" s="89" t="s">
        <v>327</v>
      </c>
      <c r="D13" s="89" t="s">
        <v>328</v>
      </c>
      <c r="E13" s="89" t="s">
        <v>329</v>
      </c>
    </row>
    <row r="14" spans="1:5" ht="16.5" customHeight="1" thickBot="1">
      <c r="A14" s="82" t="s">
        <v>330</v>
      </c>
      <c r="B14" s="90" t="s">
        <v>331</v>
      </c>
      <c r="C14" s="90" t="s">
        <v>332</v>
      </c>
      <c r="D14" s="90" t="s">
        <v>333</v>
      </c>
      <c r="E14" s="90" t="s">
        <v>334</v>
      </c>
    </row>
    <row r="15" spans="1:5" ht="16.5" customHeight="1">
      <c r="A15" s="59" t="s">
        <v>335</v>
      </c>
      <c r="B15" s="24"/>
      <c r="C15" s="24"/>
      <c r="D15" s="24"/>
      <c r="E15" s="24"/>
    </row>
    <row r="16" spans="1:5" ht="16.5" customHeight="1">
      <c r="A16" s="29" t="s">
        <v>336</v>
      </c>
      <c r="B16" s="18">
        <v>138140</v>
      </c>
      <c r="C16" s="18">
        <v>147512</v>
      </c>
      <c r="D16" s="18">
        <v>152538</v>
      </c>
      <c r="E16" s="18">
        <v>155010</v>
      </c>
    </row>
    <row r="17" spans="1:5" ht="16.5" customHeight="1">
      <c r="A17" s="28" t="s">
        <v>337</v>
      </c>
      <c r="B17" s="49">
        <v>46415</v>
      </c>
      <c r="C17" s="49">
        <v>61501</v>
      </c>
      <c r="D17" s="49">
        <v>59826</v>
      </c>
      <c r="E17" s="49">
        <v>56881</v>
      </c>
    </row>
    <row r="18" spans="1:5" ht="16.5" customHeight="1">
      <c r="A18" s="29" t="s">
        <v>338</v>
      </c>
      <c r="B18" s="18">
        <v>54554</v>
      </c>
      <c r="C18" s="18">
        <v>61199</v>
      </c>
      <c r="D18" s="18">
        <v>71066</v>
      </c>
      <c r="E18" s="18">
        <v>76084</v>
      </c>
    </row>
    <row r="19" spans="1:5" ht="16.5" customHeight="1">
      <c r="A19" s="28" t="s">
        <v>339</v>
      </c>
      <c r="B19" s="8">
        <v>285519</v>
      </c>
      <c r="C19" s="8">
        <v>362619</v>
      </c>
      <c r="D19" s="8">
        <v>377103</v>
      </c>
      <c r="E19" s="8">
        <v>345064</v>
      </c>
    </row>
    <row r="20" spans="1:5" ht="16.5" customHeight="1">
      <c r="A20" s="29" t="s">
        <v>56</v>
      </c>
      <c r="B20" s="18">
        <v>11125</v>
      </c>
      <c r="C20" s="18">
        <v>14779</v>
      </c>
      <c r="D20" s="18">
        <v>14670</v>
      </c>
      <c r="E20" s="18">
        <v>13215</v>
      </c>
    </row>
    <row r="21" spans="1:5" ht="16.5" customHeight="1" thickBot="1">
      <c r="A21" s="82"/>
      <c r="B21" s="130">
        <v>535753</v>
      </c>
      <c r="C21" s="130">
        <v>647610</v>
      </c>
      <c r="D21" s="130">
        <v>675203</v>
      </c>
      <c r="E21" s="130">
        <v>646254</v>
      </c>
    </row>
    <row r="22" spans="1:5" ht="16.5" customHeight="1">
      <c r="A22" s="73"/>
    </row>
    <row r="23" spans="1:5" ht="16.5" customHeight="1">
      <c r="A23" s="83"/>
    </row>
    <row r="24" spans="1:5" ht="61.5" customHeight="1">
      <c r="A24" s="271"/>
      <c r="B24" s="271"/>
      <c r="C24" s="271"/>
      <c r="D24" s="271"/>
      <c r="E24" s="271"/>
    </row>
    <row r="25" spans="1:5" ht="16.5" customHeight="1">
      <c r="A25" s="88" t="s">
        <v>341</v>
      </c>
    </row>
  </sheetData>
  <mergeCells count="1">
    <mergeCell ref="A24:E24"/>
  </mergeCells>
  <phoneticPr fontId="4"/>
  <pageMargins left="0.61" right="0.23622047244094491" top="0.39370078740157483" bottom="0.35433070866141736" header="0.27559055118110237" footer="0.19685039370078741"/>
  <pageSetup paperSize="9" scale="98" orientation="landscape" r:id="rId1"/>
  <headerFooter alignWithMargins="0">
    <oddFooter>&amp;L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L40"/>
  <sheetViews>
    <sheetView showGridLines="0" zoomScale="85" zoomScaleNormal="85" zoomScaleSheetLayoutView="100" workbookViewId="0">
      <selection activeCell="L4" sqref="L4"/>
    </sheetView>
  </sheetViews>
  <sheetFormatPr defaultColWidth="13" defaultRowHeight="16.5" customHeight="1"/>
  <cols>
    <col min="1" max="1" width="41.58203125" style="5" customWidth="1"/>
    <col min="2" max="3" width="9.5" style="2" customWidth="1"/>
    <col min="4" max="11" width="9.58203125" style="2" customWidth="1"/>
    <col min="12" max="12" width="9.58203125" style="1" customWidth="1"/>
    <col min="13" max="16384" width="13" style="2"/>
  </cols>
  <sheetData>
    <row r="1" spans="1:12" ht="16.5" customHeight="1">
      <c r="A1" s="50" t="s">
        <v>2</v>
      </c>
    </row>
    <row r="2" spans="1:12" ht="16.5" customHeight="1">
      <c r="A2" s="93" t="s">
        <v>3</v>
      </c>
    </row>
    <row r="3" spans="1:12" ht="16.5" customHeight="1" thickBot="1">
      <c r="A3" s="16" t="s">
        <v>4</v>
      </c>
      <c r="B3" s="13">
        <v>2007</v>
      </c>
      <c r="C3" s="13">
        <v>2008</v>
      </c>
      <c r="D3" s="13">
        <v>2009</v>
      </c>
      <c r="E3" s="13">
        <v>2010</v>
      </c>
      <c r="F3" s="13">
        <v>2011</v>
      </c>
      <c r="G3" s="13">
        <v>2012</v>
      </c>
      <c r="H3" s="13">
        <v>2013</v>
      </c>
      <c r="I3" s="13">
        <v>2014</v>
      </c>
      <c r="J3" s="13">
        <v>2015</v>
      </c>
      <c r="K3" s="13">
        <v>2016</v>
      </c>
      <c r="L3" s="116">
        <v>2017</v>
      </c>
    </row>
    <row r="4" spans="1:12" ht="16.5" customHeight="1">
      <c r="A4" s="14" t="s">
        <v>5</v>
      </c>
      <c r="B4" s="8">
        <v>862025</v>
      </c>
      <c r="C4" s="8">
        <v>866285</v>
      </c>
      <c r="D4" s="8">
        <v>727400</v>
      </c>
      <c r="E4" s="8">
        <v>792624</v>
      </c>
      <c r="F4" s="8">
        <v>862492</v>
      </c>
      <c r="G4" s="8">
        <v>802534</v>
      </c>
      <c r="H4" s="8">
        <v>841847</v>
      </c>
      <c r="I4" s="8">
        <v>984525</v>
      </c>
      <c r="J4" s="8">
        <v>1082560</v>
      </c>
      <c r="K4" s="8">
        <v>1152255</v>
      </c>
      <c r="L4" s="24">
        <v>1178257</v>
      </c>
    </row>
    <row r="5" spans="1:12" ht="16.5" customHeight="1">
      <c r="A5" s="17" t="s">
        <v>6</v>
      </c>
      <c r="B5" s="18">
        <v>690673</v>
      </c>
      <c r="C5" s="18">
        <v>714172</v>
      </c>
      <c r="D5" s="18">
        <v>610944</v>
      </c>
      <c r="E5" s="102">
        <v>704874</v>
      </c>
      <c r="F5" s="102">
        <v>764807</v>
      </c>
      <c r="G5" s="102">
        <v>702469</v>
      </c>
      <c r="H5" s="102">
        <v>747062</v>
      </c>
      <c r="I5" s="18">
        <v>890520</v>
      </c>
      <c r="J5" s="18">
        <v>989348</v>
      </c>
      <c r="K5" s="18">
        <v>1061203</v>
      </c>
      <c r="L5" s="25">
        <v>1073024</v>
      </c>
    </row>
    <row r="6" spans="1:12" ht="16.5" customHeight="1">
      <c r="A6" s="14" t="s">
        <v>7</v>
      </c>
      <c r="B6" s="8">
        <v>622819</v>
      </c>
      <c r="C6" s="8">
        <v>635529</v>
      </c>
      <c r="D6" s="8">
        <v>605943</v>
      </c>
      <c r="E6" s="8">
        <v>604454</v>
      </c>
      <c r="F6" s="8">
        <v>645514</v>
      </c>
      <c r="G6" s="8">
        <v>624271</v>
      </c>
      <c r="H6" s="8">
        <v>668258</v>
      </c>
      <c r="I6" s="8">
        <v>763572</v>
      </c>
      <c r="J6" s="8">
        <v>802225</v>
      </c>
      <c r="K6" s="8">
        <v>831123</v>
      </c>
      <c r="L6" s="24">
        <v>855948</v>
      </c>
    </row>
    <row r="7" spans="1:12" ht="16.5" customHeight="1">
      <c r="A7" s="17" t="s">
        <v>8</v>
      </c>
      <c r="B7" s="18">
        <v>159106</v>
      </c>
      <c r="C7" s="18">
        <v>158921</v>
      </c>
      <c r="D7" s="18">
        <v>159878</v>
      </c>
      <c r="E7" s="102">
        <v>153852</v>
      </c>
      <c r="F7" s="102">
        <v>149114</v>
      </c>
      <c r="G7" s="102">
        <v>157886</v>
      </c>
      <c r="H7" s="18">
        <v>149974</v>
      </c>
      <c r="I7" s="18">
        <v>184337</v>
      </c>
      <c r="J7" s="18">
        <v>207876</v>
      </c>
      <c r="K7" s="18">
        <v>227718</v>
      </c>
      <c r="L7" s="25">
        <f>239446-125797</f>
        <v>113649</v>
      </c>
    </row>
    <row r="8" spans="1:12" ht="16.5" customHeight="1">
      <c r="A8" s="14" t="s">
        <v>9</v>
      </c>
      <c r="B8" s="8"/>
      <c r="C8" s="8"/>
      <c r="D8" s="8"/>
      <c r="E8" s="8"/>
      <c r="F8" s="74"/>
      <c r="G8" s="74"/>
      <c r="H8" s="74"/>
      <c r="I8" s="74"/>
      <c r="J8" s="74"/>
      <c r="K8" s="74"/>
      <c r="L8" s="120"/>
    </row>
    <row r="9" spans="1:12" ht="16.5" customHeight="1">
      <c r="A9" s="19" t="s">
        <v>10</v>
      </c>
      <c r="B9" s="20"/>
      <c r="C9" s="20"/>
      <c r="D9" s="20"/>
      <c r="E9" s="20"/>
      <c r="F9" s="75"/>
      <c r="G9" s="75"/>
      <c r="H9" s="75"/>
      <c r="I9" s="75"/>
      <c r="J9" s="75"/>
      <c r="K9" s="75"/>
      <c r="L9" s="121"/>
    </row>
    <row r="10" spans="1:12" ht="16.5" customHeight="1">
      <c r="A10" s="14" t="s">
        <v>11</v>
      </c>
      <c r="B10" s="9"/>
      <c r="C10" s="9"/>
      <c r="D10" s="9"/>
      <c r="E10" s="9"/>
      <c r="F10" s="74"/>
      <c r="G10" s="74"/>
      <c r="H10" s="74"/>
      <c r="I10" s="74"/>
      <c r="J10" s="74"/>
      <c r="K10" s="74"/>
      <c r="L10" s="120"/>
    </row>
    <row r="11" spans="1:12" ht="16.5" customHeight="1">
      <c r="A11" s="19" t="s">
        <v>12</v>
      </c>
      <c r="B11" s="20"/>
      <c r="C11" s="20">
        <v>-15340</v>
      </c>
      <c r="D11" s="20" t="s">
        <v>1</v>
      </c>
      <c r="E11" s="20"/>
      <c r="F11" s="75"/>
      <c r="G11" s="75"/>
      <c r="H11" s="75"/>
      <c r="I11" s="75"/>
      <c r="J11" s="75"/>
      <c r="K11" s="75"/>
      <c r="L11" s="121"/>
    </row>
    <row r="12" spans="1:12" ht="16.5" customHeight="1">
      <c r="A12" s="80" t="s">
        <v>13</v>
      </c>
      <c r="B12" s="9"/>
      <c r="C12" s="9"/>
      <c r="D12" s="9"/>
      <c r="E12" s="9"/>
      <c r="F12" s="74"/>
      <c r="G12" s="8">
        <v>6570</v>
      </c>
      <c r="H12" s="8">
        <v>1561</v>
      </c>
      <c r="I12" s="8"/>
      <c r="J12" s="8"/>
      <c r="K12" s="8"/>
      <c r="L12" s="24"/>
    </row>
    <row r="13" spans="1:12" ht="16.5" customHeight="1">
      <c r="A13" s="19" t="s">
        <v>14</v>
      </c>
      <c r="B13" s="20"/>
      <c r="C13" s="20"/>
      <c r="D13" s="20"/>
      <c r="E13" s="20"/>
      <c r="F13" s="75"/>
      <c r="G13" s="20">
        <v>-6732</v>
      </c>
      <c r="H13" s="20"/>
      <c r="I13" s="20"/>
      <c r="J13" s="20"/>
      <c r="K13" s="20"/>
      <c r="L13" s="122"/>
    </row>
    <row r="14" spans="1:12" ht="16.5" customHeight="1">
      <c r="A14" s="14" t="s">
        <v>15</v>
      </c>
      <c r="B14" s="8">
        <v>510</v>
      </c>
      <c r="C14" s="9" t="s">
        <v>16</v>
      </c>
      <c r="D14" s="9">
        <v>15884</v>
      </c>
      <c r="E14" s="9">
        <f>4922-47</f>
        <v>4875</v>
      </c>
      <c r="F14" s="64" t="s">
        <v>16</v>
      </c>
      <c r="G14" s="64" t="s">
        <v>16</v>
      </c>
      <c r="H14" s="64" t="s">
        <v>16</v>
      </c>
      <c r="I14" s="64" t="s">
        <v>16</v>
      </c>
      <c r="J14" s="64" t="s">
        <v>16</v>
      </c>
      <c r="K14" s="64" t="s">
        <v>16</v>
      </c>
      <c r="L14" s="64" t="s">
        <v>16</v>
      </c>
    </row>
    <row r="15" spans="1:12" ht="16.5" customHeight="1">
      <c r="A15" s="17" t="s">
        <v>17</v>
      </c>
      <c r="B15" s="18">
        <v>79590</v>
      </c>
      <c r="C15" s="18">
        <v>87175</v>
      </c>
      <c r="D15" s="18">
        <v>-54305</v>
      </c>
      <c r="E15" s="102">
        <v>29443</v>
      </c>
      <c r="F15" s="102">
        <v>67864</v>
      </c>
      <c r="G15" s="102">
        <v>20539</v>
      </c>
      <c r="H15" s="18">
        <v>22054</v>
      </c>
      <c r="I15" s="18">
        <v>36616</v>
      </c>
      <c r="J15" s="18">
        <v>72459</v>
      </c>
      <c r="K15" s="18">
        <v>93414</v>
      </c>
      <c r="L15" s="25">
        <v>208660</v>
      </c>
    </row>
    <row r="16" spans="1:12" ht="16.5" customHeight="1">
      <c r="A16" s="14" t="s">
        <v>18</v>
      </c>
      <c r="B16" s="8">
        <v>88665</v>
      </c>
      <c r="C16" s="8">
        <v>91505</v>
      </c>
      <c r="D16" s="8">
        <v>-81630</v>
      </c>
      <c r="E16" s="8"/>
      <c r="F16" s="8"/>
      <c r="G16" s="8"/>
      <c r="H16" s="8"/>
      <c r="I16" s="8"/>
      <c r="J16" s="8">
        <v>74517</v>
      </c>
      <c r="K16" s="8">
        <v>91839</v>
      </c>
      <c r="L16" s="24">
        <v>211717</v>
      </c>
    </row>
    <row r="17" spans="1:12" ht="16.5" customHeight="1">
      <c r="A17" s="17" t="s">
        <v>19</v>
      </c>
      <c r="B17" s="21"/>
      <c r="C17" s="21"/>
      <c r="D17" s="21"/>
      <c r="E17" s="102">
        <v>25576</v>
      </c>
      <c r="F17" s="102">
        <v>64519</v>
      </c>
      <c r="G17" s="18">
        <v>14668</v>
      </c>
      <c r="H17" s="18">
        <v>19765</v>
      </c>
      <c r="I17" s="18">
        <v>39772</v>
      </c>
      <c r="J17" s="18"/>
      <c r="K17" s="18"/>
      <c r="L17" s="25"/>
    </row>
    <row r="18" spans="1:12" ht="16.5" customHeight="1">
      <c r="A18" s="14" t="s">
        <v>20</v>
      </c>
      <c r="B18" s="8">
        <v>16985</v>
      </c>
      <c r="C18" s="8">
        <v>19948</v>
      </c>
      <c r="D18" s="8">
        <v>-17041</v>
      </c>
      <c r="E18" s="8">
        <v>9401</v>
      </c>
      <c r="F18" s="8">
        <v>15105</v>
      </c>
      <c r="G18" s="8">
        <v>11970</v>
      </c>
      <c r="H18" s="8">
        <v>14616</v>
      </c>
      <c r="I18" s="8">
        <v>17936</v>
      </c>
      <c r="J18" s="8">
        <v>21738</v>
      </c>
      <c r="K18" s="8">
        <v>25216</v>
      </c>
      <c r="L18" s="24">
        <v>66157</v>
      </c>
    </row>
    <row r="19" spans="1:12" ht="16.5" customHeight="1">
      <c r="A19" s="17" t="s">
        <v>21</v>
      </c>
      <c r="B19" s="18"/>
      <c r="C19" s="18"/>
      <c r="D19" s="18"/>
      <c r="E19" s="102">
        <f>E17-E18</f>
        <v>16175</v>
      </c>
      <c r="F19" s="102">
        <v>49414</v>
      </c>
      <c r="G19" s="18">
        <v>2698</v>
      </c>
      <c r="H19" s="18">
        <v>5149</v>
      </c>
      <c r="I19" s="18">
        <v>21836</v>
      </c>
      <c r="J19" s="18">
        <v>52779</v>
      </c>
      <c r="K19" s="18">
        <v>66623</v>
      </c>
      <c r="L19" s="25">
        <v>145560</v>
      </c>
    </row>
    <row r="20" spans="1:12" ht="16.5" customHeight="1">
      <c r="A20" s="14" t="s">
        <v>22</v>
      </c>
      <c r="B20" s="15" t="s">
        <v>0</v>
      </c>
      <c r="C20" s="15" t="s">
        <v>0</v>
      </c>
      <c r="D20" s="15" t="s">
        <v>0</v>
      </c>
      <c r="E20" s="9">
        <f>-2488-805</f>
        <v>-3293</v>
      </c>
      <c r="F20" s="9">
        <v>-4410</v>
      </c>
      <c r="G20" s="8">
        <v>-4399</v>
      </c>
      <c r="H20" s="8">
        <v>-619</v>
      </c>
      <c r="I20" s="8">
        <v>-3602</v>
      </c>
      <c r="J20" s="8"/>
      <c r="K20" s="8"/>
      <c r="L20" s="24"/>
    </row>
    <row r="21" spans="1:12" ht="16.5" customHeight="1">
      <c r="A21" s="17" t="s">
        <v>23</v>
      </c>
      <c r="B21" s="22">
        <v>70125</v>
      </c>
      <c r="C21" s="22">
        <v>71461</v>
      </c>
      <c r="D21" s="22">
        <v>-63160</v>
      </c>
      <c r="E21" s="22">
        <v>13520</v>
      </c>
      <c r="F21" s="22">
        <v>45264</v>
      </c>
      <c r="G21" s="22">
        <v>-2454</v>
      </c>
      <c r="H21" s="22">
        <v>1195</v>
      </c>
      <c r="I21" s="22">
        <v>16288</v>
      </c>
      <c r="J21" s="22">
        <v>49440</v>
      </c>
      <c r="K21" s="22">
        <v>64828</v>
      </c>
      <c r="L21" s="123">
        <v>145099</v>
      </c>
    </row>
    <row r="22" spans="1:12" ht="16.5" customHeight="1">
      <c r="A22" s="14" t="s">
        <v>24</v>
      </c>
      <c r="B22" s="8"/>
      <c r="C22" s="8"/>
      <c r="D22" s="8"/>
      <c r="E22" s="8"/>
      <c r="F22" s="74"/>
      <c r="G22" s="74"/>
      <c r="H22" s="74"/>
      <c r="I22" s="74"/>
      <c r="J22" s="74"/>
      <c r="K22" s="74"/>
      <c r="L22" s="120"/>
    </row>
    <row r="23" spans="1:12" ht="16.5" customHeight="1">
      <c r="A23" s="17" t="s">
        <v>25</v>
      </c>
      <c r="B23" s="23">
        <v>529.88</v>
      </c>
      <c r="C23" s="23">
        <v>551.72</v>
      </c>
      <c r="D23" s="23">
        <v>-489.71</v>
      </c>
      <c r="E23" s="23">
        <v>104.82</v>
      </c>
      <c r="F23" s="23">
        <v>350.9</v>
      </c>
      <c r="G23" s="23">
        <v>-19.059999999999999</v>
      </c>
      <c r="H23" s="23">
        <v>9.5</v>
      </c>
      <c r="I23" s="23">
        <v>129.47</v>
      </c>
      <c r="J23" s="23">
        <v>392.78</v>
      </c>
      <c r="K23" s="23">
        <v>514.23</v>
      </c>
      <c r="L23" s="124">
        <v>1150.1600000000001</v>
      </c>
    </row>
    <row r="24" spans="1:12" ht="16.5" customHeight="1">
      <c r="A24" s="14" t="s">
        <v>26</v>
      </c>
      <c r="B24" s="10">
        <v>529.29</v>
      </c>
      <c r="C24" s="10">
        <v>551.19000000000005</v>
      </c>
      <c r="D24" s="10">
        <v>-489.71</v>
      </c>
      <c r="E24" s="10">
        <v>104.74</v>
      </c>
      <c r="F24" s="10">
        <v>350.57</v>
      </c>
      <c r="G24" s="10">
        <v>-21.42</v>
      </c>
      <c r="H24" s="10">
        <v>5.36</v>
      </c>
      <c r="I24" s="10">
        <v>120.97</v>
      </c>
      <c r="J24" s="10">
        <v>377.98</v>
      </c>
      <c r="K24" s="10">
        <v>504.66</v>
      </c>
      <c r="L24" s="125">
        <v>1147.57</v>
      </c>
    </row>
    <row r="25" spans="1:12" ht="16.5" customHeight="1">
      <c r="A25" s="17" t="s">
        <v>27</v>
      </c>
      <c r="B25" s="23">
        <v>1022.45</v>
      </c>
      <c r="C25" s="23">
        <v>1101.1099999999999</v>
      </c>
      <c r="D25" s="23">
        <v>204.75</v>
      </c>
      <c r="E25" s="103">
        <v>753.83</v>
      </c>
      <c r="F25" s="103">
        <v>951.54</v>
      </c>
      <c r="G25" s="103">
        <v>600.98</v>
      </c>
      <c r="H25" s="103">
        <v>627.89</v>
      </c>
      <c r="I25" s="103">
        <v>787.77</v>
      </c>
      <c r="J25" s="23">
        <v>1027.5999999999999</v>
      </c>
      <c r="K25" s="23">
        <v>1171.29</v>
      </c>
      <c r="L25" s="124">
        <v>1839.5249639331628</v>
      </c>
    </row>
    <row r="26" spans="1:12" ht="16.5" customHeight="1">
      <c r="A26" s="14" t="s">
        <v>28</v>
      </c>
      <c r="B26" s="60">
        <v>5759</v>
      </c>
      <c r="C26" s="60">
        <v>5557</v>
      </c>
      <c r="D26" s="60">
        <v>4297</v>
      </c>
      <c r="E26" s="60">
        <v>4215</v>
      </c>
      <c r="F26" s="60">
        <v>4142</v>
      </c>
      <c r="G26" s="60">
        <v>3957</v>
      </c>
      <c r="H26" s="60">
        <v>4461</v>
      </c>
      <c r="I26" s="60">
        <v>5050</v>
      </c>
      <c r="J26" s="60">
        <v>5865</v>
      </c>
      <c r="K26" s="60">
        <v>5355</v>
      </c>
      <c r="L26" s="126">
        <v>6288.5512153880736</v>
      </c>
    </row>
    <row r="27" spans="1:12" ht="16.5" customHeight="1">
      <c r="A27" s="17" t="s">
        <v>29</v>
      </c>
      <c r="B27" s="23">
        <v>110</v>
      </c>
      <c r="C27" s="23">
        <v>130</v>
      </c>
      <c r="D27" s="23">
        <v>130</v>
      </c>
      <c r="E27" s="23">
        <v>60</v>
      </c>
      <c r="F27" s="23">
        <v>80</v>
      </c>
      <c r="G27" s="23">
        <v>80</v>
      </c>
      <c r="H27" s="23">
        <v>70</v>
      </c>
      <c r="I27" s="23">
        <v>70</v>
      </c>
      <c r="J27" s="23">
        <v>90</v>
      </c>
      <c r="K27" s="23">
        <v>120</v>
      </c>
      <c r="L27" s="124">
        <v>120</v>
      </c>
    </row>
    <row r="28" spans="1:12" ht="16.5" customHeight="1">
      <c r="A28" s="14" t="s">
        <v>30</v>
      </c>
      <c r="B28" s="27">
        <v>20.8</v>
      </c>
      <c r="C28" s="27">
        <v>23.4</v>
      </c>
      <c r="D28" s="52" t="s">
        <v>16</v>
      </c>
      <c r="E28" s="52">
        <v>57.2</v>
      </c>
      <c r="F28" s="52">
        <v>22.8</v>
      </c>
      <c r="G28" s="52" t="s">
        <v>16</v>
      </c>
      <c r="H28" s="52">
        <v>737.2</v>
      </c>
      <c r="I28" s="52">
        <v>54.1</v>
      </c>
      <c r="J28" s="52">
        <v>22.9</v>
      </c>
      <c r="K28" s="52">
        <v>23.3</v>
      </c>
      <c r="L28" s="127">
        <v>10.4</v>
      </c>
    </row>
    <row r="29" spans="1:12" ht="16.5" customHeight="1">
      <c r="A29" s="17" t="s">
        <v>31</v>
      </c>
      <c r="B29" s="18">
        <v>989304</v>
      </c>
      <c r="C29" s="18">
        <v>935533</v>
      </c>
      <c r="D29" s="18">
        <v>1101036</v>
      </c>
      <c r="E29" s="18">
        <v>1091458</v>
      </c>
      <c r="F29" s="18">
        <v>1060853</v>
      </c>
      <c r="G29" s="18">
        <v>1072829</v>
      </c>
      <c r="H29" s="18">
        <v>1169642</v>
      </c>
      <c r="I29" s="18">
        <v>1239589</v>
      </c>
      <c r="J29" s="18">
        <v>1404282</v>
      </c>
      <c r="K29" s="18">
        <v>1450585</v>
      </c>
      <c r="L29" s="25">
        <v>1664333</v>
      </c>
    </row>
    <row r="30" spans="1:12" ht="16.5" customHeight="1">
      <c r="A30" s="14" t="s">
        <v>32</v>
      </c>
      <c r="B30" s="12">
        <v>762712</v>
      </c>
      <c r="C30" s="12">
        <v>716577</v>
      </c>
      <c r="D30" s="12">
        <v>554218</v>
      </c>
      <c r="E30" s="12">
        <v>543756</v>
      </c>
      <c r="F30" s="12">
        <v>534273</v>
      </c>
      <c r="G30" s="12">
        <v>498159</v>
      </c>
      <c r="H30" s="12">
        <v>561169</v>
      </c>
      <c r="I30" s="12">
        <v>635327</v>
      </c>
      <c r="J30" s="12">
        <v>738861</v>
      </c>
      <c r="K30" s="12">
        <v>675361</v>
      </c>
      <c r="L30" s="128">
        <v>793614</v>
      </c>
    </row>
    <row r="31" spans="1:12" ht="16.5" customHeight="1">
      <c r="A31" s="17" t="s">
        <v>33</v>
      </c>
      <c r="B31" s="18">
        <v>449830</v>
      </c>
      <c r="C31" s="18">
        <v>300859</v>
      </c>
      <c r="D31" s="18">
        <v>281536</v>
      </c>
      <c r="E31" s="18">
        <v>286370</v>
      </c>
      <c r="F31" s="18">
        <v>199186</v>
      </c>
      <c r="G31" s="18">
        <v>219918</v>
      </c>
      <c r="H31" s="18">
        <v>232693</v>
      </c>
      <c r="I31" s="18">
        <v>279504</v>
      </c>
      <c r="J31" s="18">
        <v>352364</v>
      </c>
      <c r="K31" s="18">
        <v>289760</v>
      </c>
      <c r="L31" s="25">
        <v>388542</v>
      </c>
    </row>
    <row r="32" spans="1:12" ht="16.5" customHeight="1">
      <c r="A32" s="14" t="s">
        <v>34</v>
      </c>
      <c r="B32" s="8">
        <v>70440</v>
      </c>
      <c r="C32" s="8">
        <v>84312</v>
      </c>
      <c r="D32" s="8">
        <v>98425</v>
      </c>
      <c r="E32" s="8">
        <v>64370</v>
      </c>
      <c r="F32" s="8">
        <v>78638</v>
      </c>
      <c r="G32" s="8">
        <v>99653</v>
      </c>
      <c r="H32" s="8">
        <v>85606</v>
      </c>
      <c r="I32" s="8">
        <v>68606</v>
      </c>
      <c r="J32" s="8">
        <v>102525</v>
      </c>
      <c r="K32" s="8">
        <v>160674</v>
      </c>
      <c r="L32" s="24">
        <v>167631</v>
      </c>
    </row>
    <row r="33" spans="1:12" ht="16.5" customHeight="1">
      <c r="A33" s="17" t="s">
        <v>35</v>
      </c>
      <c r="B33" s="18">
        <v>65337</v>
      </c>
      <c r="C33" s="18">
        <v>71297</v>
      </c>
      <c r="D33" s="18">
        <v>89567</v>
      </c>
      <c r="E33" s="102">
        <v>83788</v>
      </c>
      <c r="F33" s="102">
        <v>77594</v>
      </c>
      <c r="G33" s="102">
        <v>80197</v>
      </c>
      <c r="H33" s="102">
        <v>77938</v>
      </c>
      <c r="I33" s="102">
        <v>83109</v>
      </c>
      <c r="J33" s="18">
        <v>80249</v>
      </c>
      <c r="K33" s="18">
        <v>83224</v>
      </c>
      <c r="L33" s="25">
        <v>87491</v>
      </c>
    </row>
    <row r="34" spans="1:12" ht="16.5" customHeight="1">
      <c r="A34" s="14" t="s">
        <v>36</v>
      </c>
      <c r="B34" s="12">
        <v>50058</v>
      </c>
      <c r="C34" s="12">
        <v>57387</v>
      </c>
      <c r="D34" s="12">
        <v>57645</v>
      </c>
      <c r="E34" s="12">
        <v>53942</v>
      </c>
      <c r="F34" s="12">
        <v>52973</v>
      </c>
      <c r="G34" s="12">
        <v>52551</v>
      </c>
      <c r="H34" s="12">
        <v>53943</v>
      </c>
      <c r="I34" s="12">
        <v>63385</v>
      </c>
      <c r="J34" s="12">
        <v>70644</v>
      </c>
      <c r="K34" s="12">
        <v>84920</v>
      </c>
      <c r="L34" s="128">
        <v>91254</v>
      </c>
    </row>
    <row r="35" spans="1:12" ht="16.5" customHeight="1">
      <c r="A35" s="17" t="s">
        <v>37</v>
      </c>
      <c r="B35" s="55">
        <v>62.2</v>
      </c>
      <c r="C35" s="55">
        <v>70.099999999999994</v>
      </c>
      <c r="D35" s="55">
        <v>74</v>
      </c>
      <c r="E35" s="104">
        <v>80.5</v>
      </c>
      <c r="F35" s="104">
        <v>83.6</v>
      </c>
      <c r="G35" s="104">
        <v>80.2</v>
      </c>
      <c r="H35" s="104">
        <v>81.8</v>
      </c>
      <c r="I35" s="55">
        <v>86.7</v>
      </c>
      <c r="J35" s="55">
        <v>87.9</v>
      </c>
      <c r="K35" s="55">
        <v>86.3</v>
      </c>
      <c r="L35" s="129">
        <v>86.1</v>
      </c>
    </row>
    <row r="36" spans="1:12" ht="16.5" customHeight="1" thickBot="1">
      <c r="A36" s="53" t="s">
        <v>38</v>
      </c>
      <c r="B36" s="54">
        <v>51614</v>
      </c>
      <c r="C36" s="54">
        <v>60212</v>
      </c>
      <c r="D36" s="54">
        <v>66429</v>
      </c>
      <c r="E36" s="54">
        <v>80590</v>
      </c>
      <c r="F36" s="54">
        <v>87809</v>
      </c>
      <c r="G36" s="54">
        <v>79175</v>
      </c>
      <c r="H36" s="54">
        <v>79863</v>
      </c>
      <c r="I36" s="54">
        <v>83581</v>
      </c>
      <c r="J36" s="54">
        <v>88076</v>
      </c>
      <c r="K36" s="54">
        <v>91648</v>
      </c>
      <c r="L36" s="130">
        <v>99693</v>
      </c>
    </row>
    <row r="37" spans="1:12" s="4" customFormat="1" ht="16.5" customHeight="1">
      <c r="A37" s="73" t="s">
        <v>39</v>
      </c>
      <c r="C37" s="6"/>
      <c r="L37" s="6"/>
    </row>
    <row r="38" spans="1:12" s="3" customFormat="1" ht="16.5" customHeight="1">
      <c r="A38" s="73" t="s">
        <v>40</v>
      </c>
      <c r="B38"/>
      <c r="C38"/>
      <c r="D38"/>
      <c r="L38" s="131"/>
    </row>
    <row r="39" spans="1:12" ht="16.5" customHeight="1">
      <c r="A39" s="73" t="s">
        <v>41</v>
      </c>
      <c r="B39"/>
      <c r="C39"/>
      <c r="D39"/>
    </row>
    <row r="40" spans="1:12" ht="16.5" customHeight="1">
      <c r="A40" s="73" t="s">
        <v>42</v>
      </c>
      <c r="B40"/>
      <c r="C40"/>
      <c r="D40"/>
    </row>
  </sheetData>
  <phoneticPr fontId="4"/>
  <pageMargins left="0.64" right="0.21" top="0.5" bottom="0.93" header="0.31" footer="0.5"/>
  <pageSetup paperSize="9" scale="75" orientation="landscape" r:id="rId1"/>
  <headerFooter alignWithMargins="0">
    <oddFooter>&amp;L
&amp;A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7"/>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activeCell="M35" sqref="M35"/>
    </sheetView>
  </sheetViews>
  <sheetFormatPr defaultColWidth="13" defaultRowHeight="16.5" customHeight="1"/>
  <cols>
    <col min="1" max="1" width="44.58203125" style="5" customWidth="1"/>
    <col min="2" max="3" width="8.33203125" style="2" bestFit="1" customWidth="1"/>
    <col min="4" max="5" width="8.33203125" style="1" bestFit="1" customWidth="1"/>
    <col min="6" max="7" width="8.33203125" style="2" bestFit="1" customWidth="1"/>
    <col min="8" max="8" width="10" style="2" bestFit="1" customWidth="1"/>
    <col min="9" max="10" width="11.75" style="2" bestFit="1" customWidth="1"/>
    <col min="11" max="11" width="11.75" style="224" bestFit="1" customWidth="1"/>
    <col min="12" max="12" width="11.75" style="2" bestFit="1" customWidth="1"/>
    <col min="13" max="13" width="11.75" style="1" bestFit="1" customWidth="1"/>
    <col min="14" max="16384" width="13" style="2"/>
  </cols>
  <sheetData>
    <row r="1" spans="1:13" ht="16.5" customHeight="1">
      <c r="A1" s="50" t="s">
        <v>2</v>
      </c>
      <c r="M1" s="2"/>
    </row>
    <row r="2" spans="1:13" ht="16.5" customHeight="1">
      <c r="A2" s="93" t="s">
        <v>43</v>
      </c>
      <c r="B2" s="38"/>
      <c r="C2" s="38"/>
      <c r="D2" s="38"/>
      <c r="E2" s="38"/>
    </row>
    <row r="3" spans="1:13" ht="16.5" customHeight="1" thickBot="1">
      <c r="A3" s="16" t="s">
        <v>4</v>
      </c>
      <c r="B3" s="13">
        <v>2016</v>
      </c>
      <c r="C3" s="139">
        <v>2017</v>
      </c>
      <c r="D3" s="139">
        <v>2018</v>
      </c>
      <c r="E3" s="139">
        <v>2019</v>
      </c>
      <c r="F3" s="139">
        <v>2020</v>
      </c>
      <c r="G3" s="139">
        <v>2021</v>
      </c>
      <c r="H3" s="147" t="s">
        <v>44</v>
      </c>
      <c r="I3" s="207" t="s">
        <v>45</v>
      </c>
      <c r="J3" s="207" t="s">
        <v>46</v>
      </c>
      <c r="K3" s="225" t="s">
        <v>47</v>
      </c>
      <c r="L3" s="207" t="s">
        <v>48</v>
      </c>
      <c r="M3" s="148" t="s">
        <v>49</v>
      </c>
    </row>
    <row r="4" spans="1:13" ht="16.5" customHeight="1">
      <c r="A4" s="14" t="s">
        <v>5</v>
      </c>
      <c r="B4" s="8">
        <v>1152255</v>
      </c>
      <c r="C4" s="8">
        <v>1178257</v>
      </c>
      <c r="D4" s="8">
        <v>1271747</v>
      </c>
      <c r="E4" s="8">
        <v>1381806</v>
      </c>
      <c r="F4" s="8">
        <v>1363037</v>
      </c>
      <c r="G4" s="8">
        <v>1479008</v>
      </c>
      <c r="H4" s="9">
        <v>1479008</v>
      </c>
      <c r="I4" s="9">
        <v>1902124</v>
      </c>
      <c r="J4" s="9">
        <v>2180817</v>
      </c>
      <c r="K4" s="226">
        <v>2103876</v>
      </c>
      <c r="L4" s="9">
        <v>2204806</v>
      </c>
      <c r="M4" s="92">
        <v>2504820</v>
      </c>
    </row>
    <row r="5" spans="1:13" ht="16.5" customHeight="1">
      <c r="A5" s="136" t="s">
        <v>50</v>
      </c>
      <c r="B5" s="102">
        <v>1061203</v>
      </c>
      <c r="C5" s="102">
        <v>1073024</v>
      </c>
      <c r="D5" s="102">
        <v>1158004</v>
      </c>
      <c r="E5" s="102">
        <v>1268437</v>
      </c>
      <c r="F5" s="102">
        <v>1252634</v>
      </c>
      <c r="G5" s="102">
        <v>1361803</v>
      </c>
      <c r="H5" s="106">
        <v>1361803</v>
      </c>
      <c r="I5" s="106">
        <v>1753086</v>
      </c>
      <c r="J5" s="106">
        <v>2004381</v>
      </c>
      <c r="K5" s="227">
        <v>1919245</v>
      </c>
      <c r="L5" s="106">
        <v>2030391</v>
      </c>
      <c r="M5" s="175">
        <v>2321360</v>
      </c>
    </row>
    <row r="6" spans="1:13" ht="16.5" customHeight="1">
      <c r="A6" s="14" t="s">
        <v>51</v>
      </c>
      <c r="B6" s="8">
        <v>831123</v>
      </c>
      <c r="C6" s="8">
        <v>855948</v>
      </c>
      <c r="D6" s="8">
        <v>928525</v>
      </c>
      <c r="E6" s="8">
        <v>985321</v>
      </c>
      <c r="F6" s="8">
        <v>959714</v>
      </c>
      <c r="G6" s="8">
        <v>1044690</v>
      </c>
      <c r="H6" s="9">
        <v>1052410</v>
      </c>
      <c r="I6" s="9">
        <v>1338276</v>
      </c>
      <c r="J6" s="9">
        <v>1596295</v>
      </c>
      <c r="K6" s="226">
        <v>1500858</v>
      </c>
      <c r="L6" s="9">
        <v>1516764</v>
      </c>
      <c r="M6" s="92">
        <v>1721416</v>
      </c>
    </row>
    <row r="7" spans="1:13" ht="16.5" customHeight="1">
      <c r="A7" s="136" t="s">
        <v>8</v>
      </c>
      <c r="B7" s="102">
        <f>227718-533</f>
        <v>227185</v>
      </c>
      <c r="C7" s="102">
        <f>239446</f>
        <v>239446</v>
      </c>
      <c r="D7" s="102">
        <v>257630</v>
      </c>
      <c r="E7" s="102">
        <v>287561</v>
      </c>
      <c r="F7" s="102">
        <v>289771</v>
      </c>
      <c r="G7" s="102">
        <v>317302</v>
      </c>
      <c r="H7" s="106">
        <v>328217</v>
      </c>
      <c r="I7" s="106">
        <v>410568</v>
      </c>
      <c r="J7" s="106">
        <v>434803</v>
      </c>
      <c r="K7" s="227">
        <v>452520</v>
      </c>
      <c r="L7" s="106">
        <v>494029</v>
      </c>
      <c r="M7" s="175">
        <v>544033</v>
      </c>
    </row>
    <row r="8" spans="1:13" ht="16.5" customHeight="1">
      <c r="A8" s="14" t="s">
        <v>52</v>
      </c>
      <c r="B8" s="74">
        <v>533</v>
      </c>
      <c r="C8" s="74">
        <v>16811</v>
      </c>
      <c r="D8" s="74">
        <v>1282</v>
      </c>
      <c r="E8" s="8">
        <v>5112</v>
      </c>
      <c r="F8" s="8">
        <v>18592</v>
      </c>
      <c r="G8" s="8">
        <v>7914</v>
      </c>
      <c r="H8" s="9"/>
      <c r="I8" s="9"/>
      <c r="J8" s="9"/>
      <c r="K8" s="226"/>
      <c r="L8" s="9"/>
      <c r="M8" s="92"/>
    </row>
    <row r="9" spans="1:13" ht="16.5" customHeight="1">
      <c r="A9" s="19" t="s">
        <v>53</v>
      </c>
      <c r="B9" s="75"/>
      <c r="C9" s="75">
        <v>2600</v>
      </c>
      <c r="D9" s="75"/>
      <c r="E9" s="75"/>
      <c r="F9" s="75"/>
      <c r="G9" s="75"/>
      <c r="H9" s="41" t="s">
        <v>1</v>
      </c>
      <c r="I9" s="41" t="s">
        <v>1</v>
      </c>
      <c r="J9" s="41"/>
      <c r="K9" s="228"/>
      <c r="L9" s="41"/>
      <c r="M9" s="176"/>
    </row>
    <row r="10" spans="1:13" ht="16.5" hidden="1" customHeight="1">
      <c r="A10" s="14" t="s">
        <v>9</v>
      </c>
      <c r="B10" s="74"/>
      <c r="C10" s="74"/>
      <c r="D10" s="74"/>
      <c r="E10" s="74"/>
      <c r="F10" s="74"/>
      <c r="G10" s="74"/>
      <c r="H10" s="64"/>
      <c r="I10" s="64"/>
      <c r="J10" s="64"/>
      <c r="K10" s="229"/>
      <c r="L10" s="64"/>
      <c r="M10" s="177"/>
    </row>
    <row r="11" spans="1:13" ht="16.5" hidden="1" customHeight="1">
      <c r="A11" s="19" t="s">
        <v>10</v>
      </c>
      <c r="B11" s="75"/>
      <c r="C11" s="75"/>
      <c r="D11" s="75"/>
      <c r="E11" s="75"/>
      <c r="F11" s="75"/>
      <c r="G11" s="75"/>
      <c r="H11" s="41"/>
      <c r="I11" s="41"/>
      <c r="J11" s="41"/>
      <c r="K11" s="228"/>
      <c r="L11" s="41"/>
      <c r="M11" s="176"/>
    </row>
    <row r="12" spans="1:13" ht="16.5" hidden="1" customHeight="1">
      <c r="A12" s="14" t="s">
        <v>11</v>
      </c>
      <c r="B12" s="74"/>
      <c r="C12" s="74"/>
      <c r="D12" s="74"/>
      <c r="E12" s="74"/>
      <c r="F12" s="74"/>
      <c r="G12" s="74"/>
      <c r="H12" s="64"/>
      <c r="I12" s="64"/>
      <c r="J12" s="64"/>
      <c r="K12" s="229"/>
      <c r="L12" s="64"/>
      <c r="M12" s="177"/>
    </row>
    <row r="13" spans="1:13" ht="16.5" hidden="1" customHeight="1">
      <c r="A13" s="19" t="s">
        <v>12</v>
      </c>
      <c r="B13" s="75"/>
      <c r="C13" s="75"/>
      <c r="D13" s="75"/>
      <c r="E13" s="75"/>
      <c r="F13" s="75"/>
      <c r="G13" s="75"/>
      <c r="H13" s="41"/>
      <c r="I13" s="41"/>
      <c r="J13" s="41"/>
      <c r="K13" s="228"/>
      <c r="L13" s="41"/>
      <c r="M13" s="176"/>
    </row>
    <row r="14" spans="1:13" ht="16.5" customHeight="1">
      <c r="A14" s="80" t="s">
        <v>54</v>
      </c>
      <c r="B14" s="74"/>
      <c r="C14" s="9">
        <v>-145208</v>
      </c>
      <c r="D14" s="9">
        <v>-5277</v>
      </c>
      <c r="E14" s="9">
        <v>-4011</v>
      </c>
      <c r="F14" s="9">
        <v>-2910</v>
      </c>
      <c r="G14" s="9">
        <v>-2433</v>
      </c>
      <c r="H14" s="9">
        <v>-2433</v>
      </c>
      <c r="I14" s="15"/>
      <c r="J14" s="15"/>
      <c r="K14" s="15"/>
      <c r="L14" s="15"/>
      <c r="M14" s="178"/>
    </row>
    <row r="15" spans="1:13" ht="16.5" hidden="1" customHeight="1">
      <c r="A15" s="135" t="s">
        <v>13</v>
      </c>
      <c r="B15" s="102"/>
      <c r="C15" s="102"/>
      <c r="D15" s="102"/>
      <c r="E15" s="102"/>
      <c r="F15" s="102"/>
      <c r="G15" s="102"/>
      <c r="H15" s="106" t="s">
        <v>1</v>
      </c>
      <c r="I15" s="106" t="s">
        <v>1</v>
      </c>
      <c r="J15" s="106"/>
      <c r="K15" s="227"/>
      <c r="L15" s="106"/>
      <c r="M15" s="175"/>
    </row>
    <row r="16" spans="1:13" ht="16.5" hidden="1" customHeight="1">
      <c r="A16" s="80" t="s">
        <v>55</v>
      </c>
      <c r="B16" s="9"/>
      <c r="C16" s="9"/>
      <c r="D16" s="9"/>
      <c r="E16" s="9"/>
      <c r="F16" s="9"/>
      <c r="G16" s="9"/>
      <c r="H16" s="9" t="s">
        <v>1</v>
      </c>
      <c r="I16" s="9" t="s">
        <v>1</v>
      </c>
      <c r="J16" s="9"/>
      <c r="K16" s="226"/>
      <c r="L16" s="9"/>
      <c r="M16" s="92"/>
    </row>
    <row r="17" spans="1:13" ht="16.5" hidden="1" customHeight="1">
      <c r="A17" s="136" t="s">
        <v>15</v>
      </c>
      <c r="B17" s="132"/>
      <c r="C17" s="132"/>
      <c r="D17" s="132"/>
      <c r="E17" s="132"/>
      <c r="F17" s="132"/>
      <c r="G17" s="132"/>
      <c r="H17" s="132" t="s">
        <v>1</v>
      </c>
      <c r="I17" s="132" t="s">
        <v>1</v>
      </c>
      <c r="J17" s="132"/>
      <c r="K17" s="230"/>
      <c r="L17" s="132"/>
      <c r="M17" s="179"/>
    </row>
    <row r="18" spans="1:13" ht="16.5" customHeight="1">
      <c r="A18" s="14" t="s">
        <v>56</v>
      </c>
      <c r="B18" s="64"/>
      <c r="C18" s="64"/>
      <c r="D18" s="141">
        <v>-105</v>
      </c>
      <c r="E18" s="9"/>
      <c r="F18" s="9"/>
      <c r="G18" s="9"/>
      <c r="H18" s="9">
        <v>-11000</v>
      </c>
      <c r="I18" s="9">
        <v>-13495</v>
      </c>
      <c r="J18" s="9">
        <v>-19108</v>
      </c>
      <c r="K18" s="226">
        <v>-22395</v>
      </c>
      <c r="L18" s="9">
        <f>-(30717-538)</f>
        <v>-30179</v>
      </c>
      <c r="M18" s="92">
        <f>-(34183-1140)</f>
        <v>-33043</v>
      </c>
    </row>
    <row r="19" spans="1:13" ht="16.5" customHeight="1">
      <c r="A19" s="136" t="s">
        <v>57</v>
      </c>
      <c r="B19" s="102">
        <v>93414</v>
      </c>
      <c r="C19" s="102">
        <v>208660</v>
      </c>
      <c r="D19" s="102">
        <v>89692</v>
      </c>
      <c r="E19" s="102">
        <v>107823</v>
      </c>
      <c r="F19" s="102">
        <v>97870</v>
      </c>
      <c r="G19" s="102">
        <v>111535</v>
      </c>
      <c r="H19" s="106">
        <v>111814</v>
      </c>
      <c r="I19" s="106">
        <v>166775</v>
      </c>
      <c r="J19" s="106">
        <v>168827</v>
      </c>
      <c r="K19" s="227">
        <v>172893</v>
      </c>
      <c r="L19" s="106">
        <v>224192</v>
      </c>
      <c r="M19" s="175">
        <v>272415</v>
      </c>
    </row>
    <row r="20" spans="1:13" ht="16.5" customHeight="1">
      <c r="A20" s="14" t="s">
        <v>58</v>
      </c>
      <c r="B20" s="8">
        <v>91839</v>
      </c>
      <c r="C20" s="8">
        <v>211717</v>
      </c>
      <c r="D20" s="8">
        <v>89811</v>
      </c>
      <c r="E20" s="8">
        <v>115554</v>
      </c>
      <c r="F20" s="8">
        <v>95876</v>
      </c>
      <c r="G20" s="8">
        <v>121904</v>
      </c>
      <c r="H20" s="9">
        <v>117263</v>
      </c>
      <c r="I20" s="9">
        <v>172490</v>
      </c>
      <c r="J20" s="9">
        <v>167219</v>
      </c>
      <c r="K20" s="226">
        <v>179241</v>
      </c>
      <c r="L20" s="9">
        <v>237808</v>
      </c>
      <c r="M20" s="92">
        <v>276810</v>
      </c>
    </row>
    <row r="21" spans="1:13" ht="16.5" customHeight="1">
      <c r="A21" s="136" t="s">
        <v>59</v>
      </c>
      <c r="B21" s="102"/>
      <c r="C21" s="102"/>
      <c r="D21" s="102"/>
      <c r="E21" s="102"/>
      <c r="F21" s="102"/>
      <c r="G21" s="102"/>
      <c r="H21" s="106" t="s">
        <v>1</v>
      </c>
      <c r="I21" s="106" t="s">
        <v>1</v>
      </c>
      <c r="J21" s="106"/>
      <c r="K21" s="227"/>
      <c r="L21" s="106"/>
      <c r="M21" s="175"/>
    </row>
    <row r="22" spans="1:13" ht="16.5" customHeight="1">
      <c r="A22" s="14" t="s">
        <v>20</v>
      </c>
      <c r="B22" s="8">
        <v>25216</v>
      </c>
      <c r="C22" s="8">
        <v>66157</v>
      </c>
      <c r="D22" s="8">
        <v>25834</v>
      </c>
      <c r="E22" s="8">
        <v>33004</v>
      </c>
      <c r="F22" s="8">
        <v>38719</v>
      </c>
      <c r="G22" s="8">
        <v>42699</v>
      </c>
      <c r="H22" s="9">
        <v>42702</v>
      </c>
      <c r="I22" s="9">
        <v>40675</v>
      </c>
      <c r="J22" s="9">
        <v>52918</v>
      </c>
      <c r="K22" s="226">
        <v>53106</v>
      </c>
      <c r="L22" s="9">
        <v>67419</v>
      </c>
      <c r="M22" s="92">
        <v>77642</v>
      </c>
    </row>
    <row r="23" spans="1:13" ht="16.5" customHeight="1">
      <c r="A23" s="136" t="s">
        <v>60</v>
      </c>
      <c r="B23" s="102">
        <v>66623</v>
      </c>
      <c r="C23" s="102">
        <v>145560</v>
      </c>
      <c r="D23" s="102">
        <v>63977</v>
      </c>
      <c r="E23" s="102">
        <v>82550</v>
      </c>
      <c r="F23" s="102">
        <v>57157</v>
      </c>
      <c r="G23" s="102">
        <v>79205</v>
      </c>
      <c r="H23" s="106">
        <v>74561</v>
      </c>
      <c r="I23" s="106">
        <v>131815</v>
      </c>
      <c r="J23" s="106">
        <v>114301</v>
      </c>
      <c r="K23" s="227">
        <v>126135</v>
      </c>
      <c r="L23" s="106">
        <v>170389</v>
      </c>
      <c r="M23" s="175">
        <v>199167</v>
      </c>
    </row>
    <row r="24" spans="1:13" ht="16.5" customHeight="1">
      <c r="A24" s="14" t="s">
        <v>61</v>
      </c>
      <c r="B24" s="8"/>
      <c r="C24" s="8"/>
      <c r="D24" s="8"/>
      <c r="E24" s="8"/>
      <c r="F24" s="8"/>
      <c r="G24" s="8"/>
      <c r="H24" s="9" t="s">
        <v>1</v>
      </c>
      <c r="I24" s="9" t="s">
        <v>1</v>
      </c>
      <c r="J24" s="9"/>
      <c r="K24" s="226"/>
      <c r="L24" s="9"/>
      <c r="M24" s="92"/>
    </row>
    <row r="25" spans="1:13" ht="16.5" customHeight="1">
      <c r="A25" s="136" t="s">
        <v>62</v>
      </c>
      <c r="B25" s="137">
        <v>64828</v>
      </c>
      <c r="C25" s="137">
        <v>145099</v>
      </c>
      <c r="D25" s="137">
        <v>63463</v>
      </c>
      <c r="E25" s="137">
        <v>82205</v>
      </c>
      <c r="F25" s="137">
        <v>57780</v>
      </c>
      <c r="G25" s="137">
        <v>79340</v>
      </c>
      <c r="H25" s="155">
        <v>74681</v>
      </c>
      <c r="I25" s="155">
        <v>131298</v>
      </c>
      <c r="J25" s="155">
        <v>114187</v>
      </c>
      <c r="K25" s="231">
        <v>124687</v>
      </c>
      <c r="L25" s="155">
        <v>167161</v>
      </c>
      <c r="M25" s="180">
        <v>195663</v>
      </c>
    </row>
    <row r="26" spans="1:13" ht="16.5" customHeight="1">
      <c r="A26" s="14" t="s">
        <v>63</v>
      </c>
      <c r="B26" s="74"/>
      <c r="C26" s="74"/>
      <c r="D26" s="74"/>
      <c r="E26" s="74"/>
      <c r="F26" s="74"/>
      <c r="G26" s="74"/>
      <c r="H26" s="64" t="s">
        <v>1</v>
      </c>
      <c r="I26" s="64" t="s">
        <v>1</v>
      </c>
      <c r="J26" s="64"/>
      <c r="K26" s="229"/>
      <c r="L26" s="64"/>
      <c r="M26" s="177"/>
    </row>
    <row r="27" spans="1:13" ht="16.5" customHeight="1">
      <c r="A27" s="136" t="s">
        <v>64</v>
      </c>
      <c r="B27" s="103">
        <f>514.23</f>
        <v>514.23</v>
      </c>
      <c r="C27" s="103">
        <f>1150.16</f>
        <v>1150.1600000000001</v>
      </c>
      <c r="D27" s="103">
        <f>502.8</f>
        <v>502.8</v>
      </c>
      <c r="E27" s="103">
        <f>651.02</f>
        <v>651.02</v>
      </c>
      <c r="F27" s="103">
        <f>457.47</f>
        <v>457.47</v>
      </c>
      <c r="G27" s="103">
        <f>628.08</f>
        <v>628.08000000000004</v>
      </c>
      <c r="H27" s="156">
        <f>197.06/5</f>
        <v>39.411999999999999</v>
      </c>
      <c r="I27" s="156">
        <f>346.44/5</f>
        <v>69.287999999999997</v>
      </c>
      <c r="J27" s="156">
        <f>301.19/5</f>
        <v>60.238</v>
      </c>
      <c r="K27" s="232">
        <f>328.7/5</f>
        <v>65.739999999999995</v>
      </c>
      <c r="L27" s="156">
        <v>88.1</v>
      </c>
      <c r="M27" s="181">
        <v>103.09</v>
      </c>
    </row>
    <row r="28" spans="1:13" ht="16.5" customHeight="1">
      <c r="A28" s="14" t="s">
        <v>65</v>
      </c>
      <c r="B28" s="10">
        <f>504.66</f>
        <v>504.66</v>
      </c>
      <c r="C28" s="10">
        <f>1147.57</f>
        <v>1147.57</v>
      </c>
      <c r="D28" s="10">
        <f>501.47</f>
        <v>501.47</v>
      </c>
      <c r="E28" s="10">
        <f>649.45</f>
        <v>649.45000000000005</v>
      </c>
      <c r="F28" s="10">
        <f>456.44</f>
        <v>456.44</v>
      </c>
      <c r="G28" s="10">
        <f>626.78</f>
        <v>626.78</v>
      </c>
      <c r="H28" s="157">
        <f>196.66/5</f>
        <v>39.332000000000001</v>
      </c>
      <c r="I28" s="157">
        <f>345.65/5</f>
        <v>69.13</v>
      </c>
      <c r="J28" s="157">
        <f>300.64/5</f>
        <v>60.128</v>
      </c>
      <c r="K28" s="233">
        <f>328.19/5</f>
        <v>65.638000000000005</v>
      </c>
      <c r="L28" s="157">
        <v>87.98</v>
      </c>
      <c r="M28" s="182">
        <v>102.97</v>
      </c>
    </row>
    <row r="29" spans="1:13" ht="16.5" customHeight="1">
      <c r="A29" s="136" t="s">
        <v>27</v>
      </c>
      <c r="B29" s="103">
        <v>1171.29</v>
      </c>
      <c r="C29" s="103">
        <v>1839.5249639331628</v>
      </c>
      <c r="D29" s="103">
        <v>1229.78</v>
      </c>
      <c r="E29" s="103">
        <v>1491.87</v>
      </c>
      <c r="F29" s="103">
        <v>1443.7613086630924</v>
      </c>
      <c r="G29" s="103">
        <v>1735.02</v>
      </c>
      <c r="H29" s="156">
        <f>588.13/5</f>
        <v>117.626</v>
      </c>
      <c r="I29" s="156">
        <f>811.69/5</f>
        <v>162.33800000000002</v>
      </c>
      <c r="J29" s="156">
        <f>843.755428529971/5</f>
        <v>168.7510857059942</v>
      </c>
      <c r="K29" s="232">
        <f>829.729937517532/5</f>
        <v>165.94598750350639</v>
      </c>
      <c r="L29" s="156">
        <v>191.26517405347164</v>
      </c>
      <c r="M29" s="181">
        <v>210.49031410201621</v>
      </c>
    </row>
    <row r="30" spans="1:13" ht="16.5" customHeight="1">
      <c r="A30" s="14" t="s">
        <v>66</v>
      </c>
      <c r="B30" s="60">
        <v>5355</v>
      </c>
      <c r="C30" s="60">
        <v>6288.5512153880736</v>
      </c>
      <c r="D30" s="60">
        <v>6532.01</v>
      </c>
      <c r="E30" s="60">
        <v>6946.7</v>
      </c>
      <c r="F30" s="60">
        <v>6681</v>
      </c>
      <c r="G30" s="60">
        <v>7944.2315952126255</v>
      </c>
      <c r="H30" s="196">
        <f>2530.36558634406/5</f>
        <v>506.07311726881198</v>
      </c>
      <c r="I30" s="196">
        <f>3430.68991116413/5</f>
        <v>686.13798223282606</v>
      </c>
      <c r="J30" s="196">
        <f>3845.28430777896/5</f>
        <v>769.05686155579201</v>
      </c>
      <c r="K30" s="234">
        <f>4500.18979095214/5</f>
        <v>900.03795819042807</v>
      </c>
      <c r="L30" s="196">
        <v>948.58611057764733</v>
      </c>
      <c r="M30" s="260">
        <v>1152.2952594800488</v>
      </c>
    </row>
    <row r="31" spans="1:13" ht="16.5" customHeight="1">
      <c r="A31" s="136" t="s">
        <v>29</v>
      </c>
      <c r="B31" s="103">
        <v>120</v>
      </c>
      <c r="C31" s="103">
        <v>120</v>
      </c>
      <c r="D31" s="103">
        <v>130</v>
      </c>
      <c r="E31" s="103">
        <v>160</v>
      </c>
      <c r="F31" s="103">
        <v>180</v>
      </c>
      <c r="G31" s="103">
        <v>180</v>
      </c>
      <c r="H31" s="156">
        <v>180</v>
      </c>
      <c r="I31" s="156">
        <v>145</v>
      </c>
      <c r="J31" s="156">
        <v>106</v>
      </c>
      <c r="K31" s="232">
        <v>116</v>
      </c>
      <c r="L31" s="156">
        <v>86</v>
      </c>
      <c r="M31" s="181">
        <v>36</v>
      </c>
    </row>
    <row r="32" spans="1:13" ht="16.5" customHeight="1">
      <c r="A32" s="14" t="s">
        <v>67</v>
      </c>
      <c r="B32" s="52">
        <v>23.3</v>
      </c>
      <c r="C32" s="52">
        <v>10.4</v>
      </c>
      <c r="D32" s="52">
        <v>25.9</v>
      </c>
      <c r="E32" s="52">
        <v>24.6</v>
      </c>
      <c r="F32" s="52">
        <v>39.299999999999997</v>
      </c>
      <c r="G32" s="52">
        <v>28.7</v>
      </c>
      <c r="H32" s="52">
        <v>30.4</v>
      </c>
      <c r="I32" s="52">
        <v>22.6</v>
      </c>
      <c r="J32" s="52">
        <v>35.200000000000003</v>
      </c>
      <c r="K32" s="235">
        <v>35.299999999999997</v>
      </c>
      <c r="L32" s="52">
        <v>34.1</v>
      </c>
      <c r="M32" s="127">
        <v>34.9</v>
      </c>
    </row>
    <row r="33" spans="1:13" ht="16.5" customHeight="1">
      <c r="A33" s="136" t="s">
        <v>31</v>
      </c>
      <c r="B33" s="102">
        <f>1450585*0+1450564</f>
        <v>1450564</v>
      </c>
      <c r="C33" s="102">
        <v>1664333</v>
      </c>
      <c r="D33" s="102">
        <v>1905209</v>
      </c>
      <c r="E33" s="102">
        <v>1992480</v>
      </c>
      <c r="F33" s="102">
        <v>1943379</v>
      </c>
      <c r="G33" s="102">
        <v>2401433</v>
      </c>
      <c r="H33" s="106">
        <v>2359663</v>
      </c>
      <c r="I33" s="106">
        <v>3041653</v>
      </c>
      <c r="J33" s="106">
        <v>3147027</v>
      </c>
      <c r="K33" s="227">
        <v>3415304</v>
      </c>
      <c r="L33" s="106">
        <v>3541415</v>
      </c>
      <c r="M33" s="175">
        <v>4415175</v>
      </c>
    </row>
    <row r="34" spans="1:13" ht="16.5" customHeight="1">
      <c r="A34" s="14" t="s">
        <v>68</v>
      </c>
      <c r="B34" s="12">
        <v>675361</v>
      </c>
      <c r="C34" s="12">
        <v>793614</v>
      </c>
      <c r="D34" s="12">
        <v>824634</v>
      </c>
      <c r="E34" s="12">
        <v>877290</v>
      </c>
      <c r="F34" s="12">
        <v>843957</v>
      </c>
      <c r="G34" s="12">
        <v>1003538</v>
      </c>
      <c r="H34" s="158">
        <v>958929</v>
      </c>
      <c r="I34" s="158">
        <v>1300317</v>
      </c>
      <c r="J34" s="158">
        <v>1458446</v>
      </c>
      <c r="K34" s="236">
        <v>1707332</v>
      </c>
      <c r="L34" s="158">
        <v>1800070</v>
      </c>
      <c r="M34" s="183">
        <v>2187234</v>
      </c>
    </row>
    <row r="35" spans="1:13" ht="16.5" customHeight="1">
      <c r="A35" s="136" t="s">
        <v>33</v>
      </c>
      <c r="B35" s="102">
        <v>289760</v>
      </c>
      <c r="C35" s="102">
        <v>388542</v>
      </c>
      <c r="D35" s="102">
        <v>296899</v>
      </c>
      <c r="E35" s="102">
        <v>208165</v>
      </c>
      <c r="F35" s="102">
        <v>247577</v>
      </c>
      <c r="G35" s="102">
        <v>221909</v>
      </c>
      <c r="H35" s="106">
        <v>202547</v>
      </c>
      <c r="I35" s="106">
        <v>470814</v>
      </c>
      <c r="J35" s="106">
        <v>603000</v>
      </c>
      <c r="K35" s="227">
        <v>711085</v>
      </c>
      <c r="L35" s="106">
        <v>738398</v>
      </c>
      <c r="M35" s="175">
        <v>880687</v>
      </c>
    </row>
    <row r="36" spans="1:13" ht="16.5" customHeight="1">
      <c r="A36" s="14" t="s">
        <v>34</v>
      </c>
      <c r="B36" s="8">
        <v>160674</v>
      </c>
      <c r="C36" s="8">
        <v>167631</v>
      </c>
      <c r="D36" s="8">
        <v>178612</v>
      </c>
      <c r="E36" s="8">
        <v>173592</v>
      </c>
      <c r="F36" s="8">
        <v>173429</v>
      </c>
      <c r="G36" s="8">
        <v>212355</v>
      </c>
      <c r="H36" s="9">
        <v>212196</v>
      </c>
      <c r="I36" s="9">
        <v>291337</v>
      </c>
      <c r="J36" s="9">
        <v>275709</v>
      </c>
      <c r="K36" s="226">
        <v>218589</v>
      </c>
      <c r="L36" s="9">
        <v>225290</v>
      </c>
      <c r="M36" s="92">
        <v>298591</v>
      </c>
    </row>
    <row r="37" spans="1:13" ht="16.5" customHeight="1">
      <c r="A37" s="136" t="s">
        <v>35</v>
      </c>
      <c r="B37" s="102">
        <v>83224</v>
      </c>
      <c r="C37" s="102">
        <v>87491</v>
      </c>
      <c r="D37" s="102">
        <v>92171</v>
      </c>
      <c r="E37" s="102">
        <v>106631</v>
      </c>
      <c r="F37" s="102">
        <v>124984</v>
      </c>
      <c r="G37" s="102">
        <v>140285</v>
      </c>
      <c r="H37" s="106">
        <v>148356</v>
      </c>
      <c r="I37" s="106">
        <v>177031</v>
      </c>
      <c r="J37" s="106">
        <v>206285</v>
      </c>
      <c r="K37" s="227">
        <v>190546</v>
      </c>
      <c r="L37" s="106">
        <v>196228</v>
      </c>
      <c r="M37" s="175">
        <v>204192</v>
      </c>
    </row>
    <row r="38" spans="1:13" ht="16.5" customHeight="1">
      <c r="A38" s="14" t="s">
        <v>69</v>
      </c>
      <c r="B38" s="12">
        <v>84920</v>
      </c>
      <c r="C38" s="12">
        <v>91254</v>
      </c>
      <c r="D38" s="12">
        <v>102641</v>
      </c>
      <c r="E38" s="12">
        <v>115155</v>
      </c>
      <c r="F38" s="12">
        <v>117489</v>
      </c>
      <c r="G38" s="12">
        <v>127046</v>
      </c>
      <c r="H38" s="158">
        <v>127409</v>
      </c>
      <c r="I38" s="158">
        <v>165250</v>
      </c>
      <c r="J38" s="158">
        <v>179467</v>
      </c>
      <c r="K38" s="236">
        <v>188860</v>
      </c>
      <c r="L38" s="158">
        <v>253586</v>
      </c>
      <c r="M38" s="183">
        <v>289668</v>
      </c>
    </row>
    <row r="39" spans="1:13" ht="16.5" customHeight="1" thickBot="1">
      <c r="A39" s="142" t="s">
        <v>70</v>
      </c>
      <c r="B39" s="213">
        <v>91648</v>
      </c>
      <c r="C39" s="213">
        <v>99693</v>
      </c>
      <c r="D39" s="213">
        <v>102883</v>
      </c>
      <c r="E39" s="213">
        <v>104781</v>
      </c>
      <c r="F39" s="213">
        <v>107138</v>
      </c>
      <c r="G39" s="213">
        <v>129284</v>
      </c>
      <c r="H39" s="214">
        <v>129284</v>
      </c>
      <c r="I39" s="214">
        <v>116808</v>
      </c>
      <c r="J39" s="214">
        <v>102908</v>
      </c>
      <c r="K39" s="237">
        <v>101453</v>
      </c>
      <c r="L39" s="214">
        <v>105067</v>
      </c>
      <c r="M39" s="215">
        <v>106545</v>
      </c>
    </row>
    <row r="40" spans="1:13" s="4" customFormat="1" ht="16.5" customHeight="1">
      <c r="A40" s="73" t="s">
        <v>39</v>
      </c>
      <c r="H40" s="4" t="s">
        <v>1</v>
      </c>
      <c r="J40" s="4" t="s">
        <v>1</v>
      </c>
      <c r="K40" s="238" t="s">
        <v>1</v>
      </c>
      <c r="L40" s="4" t="s">
        <v>1</v>
      </c>
      <c r="M40" s="6" t="s">
        <v>1</v>
      </c>
    </row>
    <row r="41" spans="1:13" ht="30" customHeight="1">
      <c r="A41" s="266" t="s">
        <v>71</v>
      </c>
      <c r="B41" s="266"/>
      <c r="C41" s="266"/>
      <c r="D41" s="266"/>
      <c r="E41" s="266"/>
      <c r="F41" s="266"/>
      <c r="G41" s="266"/>
      <c r="H41" s="266"/>
      <c r="I41" s="266"/>
      <c r="J41" s="266"/>
      <c r="K41" s="266"/>
      <c r="L41" s="266"/>
      <c r="M41" s="266"/>
    </row>
    <row r="42" spans="1:13" ht="30" customHeight="1">
      <c r="A42" s="266" t="s">
        <v>72</v>
      </c>
      <c r="B42" s="266"/>
      <c r="C42" s="266"/>
      <c r="D42" s="266"/>
      <c r="E42" s="266"/>
      <c r="F42" s="266"/>
      <c r="G42" s="266"/>
      <c r="H42" s="266"/>
      <c r="I42" s="266"/>
      <c r="J42" s="266"/>
      <c r="K42" s="266"/>
      <c r="L42" s="266"/>
      <c r="M42" s="266"/>
    </row>
    <row r="43" spans="1:13" ht="30" customHeight="1">
      <c r="A43" s="266" t="s">
        <v>73</v>
      </c>
      <c r="B43" s="266"/>
      <c r="C43" s="266"/>
      <c r="D43" s="266"/>
      <c r="E43" s="266"/>
      <c r="F43" s="266"/>
      <c r="G43" s="266"/>
      <c r="H43" s="266"/>
      <c r="I43" s="266"/>
      <c r="J43" s="266"/>
      <c r="K43" s="266"/>
      <c r="L43" s="266"/>
      <c r="M43" s="266"/>
    </row>
    <row r="44" spans="1:13" ht="30" customHeight="1">
      <c r="A44" s="266" t="s">
        <v>74</v>
      </c>
      <c r="B44" s="266"/>
      <c r="C44" s="266"/>
      <c r="D44" s="266"/>
      <c r="E44" s="266"/>
      <c r="F44" s="266"/>
      <c r="G44" s="266"/>
      <c r="H44" s="266"/>
      <c r="I44" s="266"/>
      <c r="J44" s="266"/>
      <c r="K44" s="266"/>
      <c r="L44" s="266"/>
      <c r="M44" s="266"/>
    </row>
    <row r="45" spans="1:13" ht="30" customHeight="1">
      <c r="A45" s="266" t="s">
        <v>75</v>
      </c>
      <c r="B45" s="266"/>
      <c r="C45" s="266"/>
      <c r="D45" s="266"/>
      <c r="E45" s="266"/>
      <c r="F45" s="266"/>
      <c r="G45" s="266"/>
      <c r="H45" s="266"/>
      <c r="I45" s="266"/>
      <c r="J45" s="266"/>
      <c r="K45" s="266"/>
      <c r="L45" s="266"/>
      <c r="M45" s="266"/>
    </row>
    <row r="46" spans="1:13" ht="30" customHeight="1">
      <c r="A46" s="266" t="s">
        <v>76</v>
      </c>
      <c r="B46" s="266"/>
      <c r="C46" s="266"/>
      <c r="D46" s="266"/>
      <c r="E46" s="266"/>
      <c r="F46" s="266"/>
      <c r="G46" s="266"/>
      <c r="H46" s="266"/>
      <c r="I46" s="266"/>
      <c r="J46" s="266"/>
      <c r="K46" s="266"/>
      <c r="L46" s="266"/>
      <c r="M46" s="266"/>
    </row>
    <row r="47" spans="1:13" ht="30" customHeight="1">
      <c r="A47" s="266" t="s">
        <v>77</v>
      </c>
      <c r="B47" s="266"/>
      <c r="C47" s="266"/>
      <c r="D47" s="266"/>
      <c r="E47" s="266"/>
      <c r="F47" s="266"/>
      <c r="G47" s="266"/>
      <c r="H47" s="266"/>
      <c r="I47" s="266"/>
      <c r="J47" s="266"/>
      <c r="K47" s="266"/>
      <c r="L47" s="266"/>
      <c r="M47" s="266"/>
    </row>
  </sheetData>
  <mergeCells count="7">
    <mergeCell ref="A46:M46"/>
    <mergeCell ref="A47:M47"/>
    <mergeCell ref="A41:M41"/>
    <mergeCell ref="A42:M42"/>
    <mergeCell ref="A43:M43"/>
    <mergeCell ref="A44:M44"/>
    <mergeCell ref="A45:M45"/>
  </mergeCells>
  <phoneticPr fontId="4"/>
  <pageMargins left="0.64" right="0.21" top="0.5" bottom="0.93" header="0.31" footer="0.5"/>
  <pageSetup paperSize="9" scale="69" orientation="landscape" r:id="rId1"/>
  <headerFooter alignWithMargins="0">
    <oddFooter>&amp;L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3"/>
  <sheetViews>
    <sheetView view="pageBreakPreview" zoomScaleNormal="80" zoomScaleSheetLayoutView="100" workbookViewId="0">
      <pane xSplit="1" ySplit="3" topLeftCell="B4" activePane="bottomRight" state="frozen"/>
      <selection pane="topRight" activeCell="B1" sqref="B1"/>
      <selection pane="bottomLeft" activeCell="A4" sqref="A4"/>
      <selection pane="bottomRight" activeCell="M1" sqref="M1"/>
    </sheetView>
  </sheetViews>
  <sheetFormatPr defaultColWidth="13" defaultRowHeight="16.5" customHeight="1"/>
  <cols>
    <col min="1" max="1" width="36.83203125" style="84" customWidth="1"/>
    <col min="2" max="3" width="8.33203125" style="2" bestFit="1" customWidth="1"/>
    <col min="4" max="5" width="8.33203125" style="1" bestFit="1" customWidth="1"/>
    <col min="6" max="7" width="8.33203125" style="2" bestFit="1" customWidth="1"/>
    <col min="8" max="9" width="10" style="149" bestFit="1" customWidth="1"/>
    <col min="10" max="10" width="10" style="184" bestFit="1" customWidth="1"/>
    <col min="11" max="11" width="10" style="149" bestFit="1" customWidth="1"/>
    <col min="12" max="12" width="10.08203125" style="149" bestFit="1" customWidth="1"/>
    <col min="13" max="13" width="10.08203125" style="184" bestFit="1" customWidth="1"/>
    <col min="14" max="16384" width="13" style="2"/>
  </cols>
  <sheetData>
    <row r="1" spans="1:13" ht="16.5" customHeight="1">
      <c r="A1" s="50" t="s">
        <v>78</v>
      </c>
    </row>
    <row r="2" spans="1:13" ht="22.5" customHeight="1">
      <c r="A2" s="206" t="s">
        <v>79</v>
      </c>
    </row>
    <row r="3" spans="1:13" ht="16.5" customHeight="1" thickBot="1">
      <c r="A3" s="66" t="s">
        <v>80</v>
      </c>
      <c r="B3" s="67">
        <v>2016</v>
      </c>
      <c r="C3" s="67">
        <v>2017</v>
      </c>
      <c r="D3" s="67">
        <v>2018</v>
      </c>
      <c r="E3" s="67">
        <v>2019</v>
      </c>
      <c r="F3" s="67">
        <v>2020</v>
      </c>
      <c r="G3" s="67">
        <v>2021</v>
      </c>
      <c r="H3" s="147" t="s">
        <v>44</v>
      </c>
      <c r="I3" s="147" t="s">
        <v>45</v>
      </c>
      <c r="J3" s="147" t="s">
        <v>46</v>
      </c>
      <c r="K3" s="147" t="s">
        <v>47</v>
      </c>
      <c r="L3" s="147" t="s">
        <v>48</v>
      </c>
      <c r="M3" s="150" t="s">
        <v>49</v>
      </c>
    </row>
    <row r="4" spans="1:13" ht="16.5" customHeight="1">
      <c r="A4" s="28" t="s">
        <v>5</v>
      </c>
      <c r="B4" s="8">
        <f>'1'!B4</f>
        <v>1152255</v>
      </c>
      <c r="C4" s="8">
        <f>'1'!C4</f>
        <v>1178257</v>
      </c>
      <c r="D4" s="8">
        <v>1271747</v>
      </c>
      <c r="E4" s="8">
        <v>1381806</v>
      </c>
      <c r="F4" s="8">
        <v>1363037</v>
      </c>
      <c r="G4" s="8">
        <v>1479008</v>
      </c>
      <c r="H4" s="8">
        <v>1479008</v>
      </c>
      <c r="I4" s="208">
        <v>1902124</v>
      </c>
      <c r="J4" s="208">
        <v>2180817</v>
      </c>
      <c r="K4" s="208">
        <v>2103876</v>
      </c>
      <c r="L4" s="208">
        <v>2204806</v>
      </c>
      <c r="M4" s="216">
        <f>'1'!M4</f>
        <v>2504820</v>
      </c>
    </row>
    <row r="5" spans="1:13" ht="16.5" customHeight="1">
      <c r="A5" s="29" t="s">
        <v>81</v>
      </c>
      <c r="B5" s="18">
        <f>'1'!B5</f>
        <v>1061203</v>
      </c>
      <c r="C5" s="18">
        <f>'1'!C5</f>
        <v>1073024</v>
      </c>
      <c r="D5" s="18">
        <v>1158004</v>
      </c>
      <c r="E5" s="18">
        <v>1268437</v>
      </c>
      <c r="F5" s="18">
        <v>1252634</v>
      </c>
      <c r="G5" s="18">
        <v>1361803</v>
      </c>
      <c r="H5" s="151">
        <v>1361803</v>
      </c>
      <c r="I5" s="151">
        <v>1753086</v>
      </c>
      <c r="J5" s="151">
        <v>2004381</v>
      </c>
      <c r="K5" s="151">
        <v>1919245</v>
      </c>
      <c r="L5" s="151">
        <v>2030391</v>
      </c>
      <c r="M5" s="217">
        <f>'1'!M5</f>
        <v>2321360</v>
      </c>
    </row>
    <row r="6" spans="1:13" ht="16.5" customHeight="1">
      <c r="A6" s="28" t="s">
        <v>82</v>
      </c>
      <c r="B6" s="11">
        <f>B5/B4*100</f>
        <v>92.097929711739155</v>
      </c>
      <c r="C6" s="11">
        <f>C5/C4*100</f>
        <v>91.068756646470177</v>
      </c>
      <c r="D6" s="11">
        <v>91.056161327685459</v>
      </c>
      <c r="E6" s="11">
        <v>91.8</v>
      </c>
      <c r="F6" s="11">
        <v>91.9</v>
      </c>
      <c r="G6" s="11">
        <v>92.1</v>
      </c>
      <c r="H6" s="153">
        <v>92.1</v>
      </c>
      <c r="I6" s="153">
        <v>92.2</v>
      </c>
      <c r="J6" s="153">
        <v>91.9</v>
      </c>
      <c r="K6" s="153">
        <v>91.2</v>
      </c>
      <c r="L6" s="153">
        <v>92.1</v>
      </c>
      <c r="M6" s="218">
        <v>92.7</v>
      </c>
    </row>
    <row r="7" spans="1:13" ht="16.5" customHeight="1">
      <c r="A7" s="29" t="s">
        <v>7</v>
      </c>
      <c r="B7" s="18">
        <f>'1'!B6</f>
        <v>831123</v>
      </c>
      <c r="C7" s="18">
        <f>'1'!C6</f>
        <v>855948</v>
      </c>
      <c r="D7" s="18">
        <f>'1'!D6</f>
        <v>928525</v>
      </c>
      <c r="E7" s="18">
        <f>'1'!E6</f>
        <v>985321</v>
      </c>
      <c r="F7" s="18">
        <f>'1'!F6</f>
        <v>959714</v>
      </c>
      <c r="G7" s="18">
        <v>1044690</v>
      </c>
      <c r="H7" s="151">
        <v>1052410</v>
      </c>
      <c r="I7" s="151">
        <v>1338276</v>
      </c>
      <c r="J7" s="151">
        <v>1596295</v>
      </c>
      <c r="K7" s="151">
        <v>1500858</v>
      </c>
      <c r="L7" s="151">
        <v>1516764</v>
      </c>
      <c r="M7" s="217">
        <f>'1'!M6</f>
        <v>1721416</v>
      </c>
    </row>
    <row r="8" spans="1:13" ht="16.5" customHeight="1">
      <c r="A8" s="28" t="s">
        <v>83</v>
      </c>
      <c r="B8" s="26">
        <f>B7/B4*100</f>
        <v>72.130127445747689</v>
      </c>
      <c r="C8" s="26">
        <f>C7/C4*100</f>
        <v>72.645271787054938</v>
      </c>
      <c r="D8" s="26">
        <v>73</v>
      </c>
      <c r="E8" s="26">
        <v>71.3</v>
      </c>
      <c r="F8" s="26">
        <v>70.400000000000006</v>
      </c>
      <c r="G8" s="26">
        <v>70.599999999999994</v>
      </c>
      <c r="H8" s="153">
        <v>71.2</v>
      </c>
      <c r="I8" s="153">
        <v>70.400000000000006</v>
      </c>
      <c r="J8" s="211">
        <f>J7/J4*100</f>
        <v>73.197109156797652</v>
      </c>
      <c r="K8" s="211">
        <f>K7/K4*100</f>
        <v>71.337759449701409</v>
      </c>
      <c r="L8" s="211">
        <f>L7/L4*100</f>
        <v>68.793535576372705</v>
      </c>
      <c r="M8" s="218">
        <f>M7/M4*100</f>
        <v>68.724139858353098</v>
      </c>
    </row>
    <row r="9" spans="1:13" ht="16.5" customHeight="1">
      <c r="A9" s="29" t="s">
        <v>8</v>
      </c>
      <c r="B9" s="18">
        <f>'1'!B7+SUM('1'!B8:B18)</f>
        <v>227718</v>
      </c>
      <c r="C9" s="18">
        <f>'1'!C7+SUM('1'!C8:C18)</f>
        <v>113649</v>
      </c>
      <c r="D9" s="18">
        <f>'1'!D7+SUM('1'!D8:D18)</f>
        <v>253530</v>
      </c>
      <c r="E9" s="18">
        <f>'1'!E7+SUM('1'!E8:E18)</f>
        <v>288662</v>
      </c>
      <c r="F9" s="18">
        <f>'1'!F7+SUM('1'!F8:F18)</f>
        <v>305453</v>
      </c>
      <c r="G9" s="18">
        <v>322783</v>
      </c>
      <c r="H9" s="151">
        <v>328217</v>
      </c>
      <c r="I9" s="151">
        <v>410568</v>
      </c>
      <c r="J9" s="151">
        <v>434803</v>
      </c>
      <c r="K9" s="151">
        <v>452520</v>
      </c>
      <c r="L9" s="151">
        <v>494029</v>
      </c>
      <c r="M9" s="217">
        <f>'1'!M7</f>
        <v>544033</v>
      </c>
    </row>
    <row r="10" spans="1:13" ht="16.5" customHeight="1">
      <c r="A10" s="28" t="s">
        <v>84</v>
      </c>
      <c r="B10" s="11">
        <f>B9/B4*100</f>
        <v>19.762812919015321</v>
      </c>
      <c r="C10" s="11">
        <f>C9/C4*100+0.1</f>
        <v>9.7455187620357879</v>
      </c>
      <c r="D10" s="11">
        <f>D9/D4*100</f>
        <v>19.935568945710113</v>
      </c>
      <c r="E10" s="11">
        <f>E9/E4*100</f>
        <v>20.890197321476386</v>
      </c>
      <c r="F10" s="11">
        <f>F9/F4*100</f>
        <v>22.409736492846488</v>
      </c>
      <c r="G10" s="11">
        <v>21.9</v>
      </c>
      <c r="H10" s="153">
        <v>22.2</v>
      </c>
      <c r="I10" s="153">
        <v>21.6</v>
      </c>
      <c r="J10" s="211">
        <f>J9/J4*100</f>
        <v>19.937619708577106</v>
      </c>
      <c r="K10" s="211">
        <f>K9/K4*100</f>
        <v>21.508872195889872</v>
      </c>
      <c r="L10" s="211">
        <f>L9/L4*100</f>
        <v>22.406914712677668</v>
      </c>
      <c r="M10" s="218">
        <f>M9/M4*100</f>
        <v>21.71944491021311</v>
      </c>
    </row>
    <row r="11" spans="1:13" ht="16.5" customHeight="1">
      <c r="A11" s="29" t="s">
        <v>57</v>
      </c>
      <c r="B11" s="18">
        <f>'1'!B19</f>
        <v>93414</v>
      </c>
      <c r="C11" s="18">
        <f>'1'!C19</f>
        <v>208660</v>
      </c>
      <c r="D11" s="18">
        <v>89692</v>
      </c>
      <c r="E11" s="18">
        <v>107823</v>
      </c>
      <c r="F11" s="18">
        <v>97870</v>
      </c>
      <c r="G11" s="18">
        <v>111535</v>
      </c>
      <c r="H11" s="151">
        <v>111814</v>
      </c>
      <c r="I11" s="151">
        <v>166775</v>
      </c>
      <c r="J11" s="151">
        <v>168827</v>
      </c>
      <c r="K11" s="151">
        <v>172893</v>
      </c>
      <c r="L11" s="151">
        <v>224192</v>
      </c>
      <c r="M11" s="217">
        <f>'1'!M19</f>
        <v>272415</v>
      </c>
    </row>
    <row r="12" spans="1:13" ht="16.5" customHeight="1">
      <c r="A12" s="28" t="s">
        <v>85</v>
      </c>
      <c r="B12" s="11">
        <f>B11/B4*100</f>
        <v>8.1070596352369915</v>
      </c>
      <c r="C12" s="11">
        <f>C11/C4*100</f>
        <v>17.709209450909267</v>
      </c>
      <c r="D12" s="11">
        <v>7.1</v>
      </c>
      <c r="E12" s="11">
        <v>7.8</v>
      </c>
      <c r="F12" s="11">
        <v>7.2</v>
      </c>
      <c r="G12" s="11">
        <v>7.5</v>
      </c>
      <c r="H12" s="153">
        <v>7.6</v>
      </c>
      <c r="I12" s="153">
        <v>8.8000000000000007</v>
      </c>
      <c r="J12" s="153">
        <v>7.7</v>
      </c>
      <c r="K12" s="153">
        <v>8.1999999999999993</v>
      </c>
      <c r="L12" s="211">
        <f>L11/L4*100</f>
        <v>10.168332270503617</v>
      </c>
      <c r="M12" s="218">
        <f>M11/M4*100</f>
        <v>10.875631781924449</v>
      </c>
    </row>
    <row r="13" spans="1:13" ht="16.5" customHeight="1">
      <c r="A13" s="205" t="s">
        <v>62</v>
      </c>
      <c r="B13" s="18">
        <f>'1'!B25</f>
        <v>64828</v>
      </c>
      <c r="C13" s="18">
        <f>'1'!C25</f>
        <v>145099</v>
      </c>
      <c r="D13" s="18">
        <v>63463</v>
      </c>
      <c r="E13" s="18">
        <v>82205</v>
      </c>
      <c r="F13" s="18">
        <v>57780</v>
      </c>
      <c r="G13" s="18">
        <v>79340</v>
      </c>
      <c r="H13" s="151">
        <v>74681</v>
      </c>
      <c r="I13" s="151">
        <v>131298</v>
      </c>
      <c r="J13" s="151">
        <v>114187</v>
      </c>
      <c r="K13" s="151">
        <v>124687</v>
      </c>
      <c r="L13" s="151">
        <v>167161</v>
      </c>
      <c r="M13" s="217">
        <f>'1'!M25</f>
        <v>195663</v>
      </c>
    </row>
    <row r="14" spans="1:13" ht="16.5" customHeight="1">
      <c r="A14" s="28" t="s">
        <v>86</v>
      </c>
      <c r="B14" s="27">
        <f>B13/B4*100</f>
        <v>5.6261851760244044</v>
      </c>
      <c r="C14" s="27">
        <f>C13/C4*100</f>
        <v>12.314715719915096</v>
      </c>
      <c r="D14" s="27">
        <v>4.9902221117879577</v>
      </c>
      <c r="E14" s="27">
        <v>5.9</v>
      </c>
      <c r="F14" s="27">
        <v>4.2</v>
      </c>
      <c r="G14" s="27">
        <v>5.4</v>
      </c>
      <c r="H14" s="154">
        <v>5</v>
      </c>
      <c r="I14" s="209">
        <v>6.9</v>
      </c>
      <c r="J14" s="209">
        <v>5.2</v>
      </c>
      <c r="K14" s="209">
        <v>5.9</v>
      </c>
      <c r="L14" s="154">
        <f>L13/L4*100</f>
        <v>7.581664781391197</v>
      </c>
      <c r="M14" s="239">
        <f>M13/M4*100</f>
        <v>7.8114595060722918</v>
      </c>
    </row>
    <row r="15" spans="1:13" ht="16.5" customHeight="1">
      <c r="A15" s="29" t="s">
        <v>34</v>
      </c>
      <c r="B15" s="18">
        <f>'1'!B36</f>
        <v>160674</v>
      </c>
      <c r="C15" s="18">
        <f>'1'!C36</f>
        <v>167631</v>
      </c>
      <c r="D15" s="18">
        <v>178612</v>
      </c>
      <c r="E15" s="18">
        <v>173592</v>
      </c>
      <c r="F15" s="18">
        <v>173429</v>
      </c>
      <c r="G15" s="18">
        <v>212355</v>
      </c>
      <c r="H15" s="132">
        <v>212196</v>
      </c>
      <c r="I15" s="132">
        <v>291337</v>
      </c>
      <c r="J15" s="132">
        <v>275709</v>
      </c>
      <c r="K15" s="132">
        <v>218589</v>
      </c>
      <c r="L15" s="132">
        <v>225290</v>
      </c>
      <c r="M15" s="179">
        <f>'1'!M36</f>
        <v>298591</v>
      </c>
    </row>
    <row r="16" spans="1:13" ht="16.5" customHeight="1">
      <c r="A16" s="28" t="s">
        <v>87</v>
      </c>
      <c r="B16" s="11">
        <f>B15/B18*100</f>
        <v>108.52538297354984</v>
      </c>
      <c r="C16" s="11">
        <f>C15/C18*100</f>
        <v>72.071456210499164</v>
      </c>
      <c r="D16" s="11">
        <v>114.76412609069997</v>
      </c>
      <c r="E16" s="11">
        <v>91.9</v>
      </c>
      <c r="F16" s="11">
        <v>94.9</v>
      </c>
      <c r="G16" s="11">
        <v>96.7</v>
      </c>
      <c r="H16" s="153">
        <v>95.1</v>
      </c>
      <c r="I16" s="153">
        <v>94.5</v>
      </c>
      <c r="J16" s="211">
        <v>86</v>
      </c>
      <c r="K16" s="211">
        <v>69.3</v>
      </c>
      <c r="L16" s="211">
        <v>61.996923407147698</v>
      </c>
      <c r="M16" s="218">
        <v>74.7</v>
      </c>
    </row>
    <row r="17" spans="1:13" ht="16.5" customHeight="1">
      <c r="A17" s="29" t="s">
        <v>35</v>
      </c>
      <c r="B17" s="18">
        <f>'1'!B37</f>
        <v>83224</v>
      </c>
      <c r="C17" s="18">
        <f>'1'!C37</f>
        <v>87491</v>
      </c>
      <c r="D17" s="18">
        <v>92171</v>
      </c>
      <c r="E17" s="18">
        <v>106631</v>
      </c>
      <c r="F17" s="18">
        <v>124984</v>
      </c>
      <c r="G17" s="18">
        <v>140285</v>
      </c>
      <c r="H17" s="151">
        <v>148356</v>
      </c>
      <c r="I17" s="151">
        <v>177031</v>
      </c>
      <c r="J17" s="151">
        <v>206285</v>
      </c>
      <c r="K17" s="151">
        <v>190546</v>
      </c>
      <c r="L17" s="151">
        <v>196228</v>
      </c>
      <c r="M17" s="217">
        <f>'1'!M37</f>
        <v>204192</v>
      </c>
    </row>
    <row r="18" spans="1:13" ht="16.5" customHeight="1">
      <c r="A18" s="28" t="s">
        <v>88</v>
      </c>
      <c r="B18" s="8">
        <f>B13+B17</f>
        <v>148052</v>
      </c>
      <c r="C18" s="8">
        <f>C13+C17</f>
        <v>232590</v>
      </c>
      <c r="D18" s="8">
        <v>155634</v>
      </c>
      <c r="E18" s="8">
        <f>E13+E17</f>
        <v>188836</v>
      </c>
      <c r="F18" s="8">
        <v>182764</v>
      </c>
      <c r="G18" s="8">
        <v>219625</v>
      </c>
      <c r="H18" s="64">
        <v>223037</v>
      </c>
      <c r="I18" s="64">
        <v>308329</v>
      </c>
      <c r="J18" s="64">
        <v>320472</v>
      </c>
      <c r="K18" s="64">
        <v>315233</v>
      </c>
      <c r="L18" s="64">
        <v>363389</v>
      </c>
      <c r="M18" s="177">
        <v>399855</v>
      </c>
    </row>
    <row r="19" spans="1:13" ht="16.5" customHeight="1">
      <c r="A19" s="29" t="s">
        <v>36</v>
      </c>
      <c r="B19" s="18">
        <f>'1'!B38</f>
        <v>84920</v>
      </c>
      <c r="C19" s="18">
        <f>'1'!C38</f>
        <v>91254</v>
      </c>
      <c r="D19" s="18">
        <v>102641</v>
      </c>
      <c r="E19" s="18">
        <v>115155</v>
      </c>
      <c r="F19" s="18">
        <v>117489</v>
      </c>
      <c r="G19" s="18">
        <v>127046</v>
      </c>
      <c r="H19" s="151">
        <v>127409</v>
      </c>
      <c r="I19" s="151">
        <v>165250</v>
      </c>
      <c r="J19" s="151">
        <v>179467</v>
      </c>
      <c r="K19" s="151">
        <v>188860</v>
      </c>
      <c r="L19" s="151">
        <v>253586</v>
      </c>
      <c r="M19" s="217">
        <f>'1'!M38</f>
        <v>289668</v>
      </c>
    </row>
    <row r="20" spans="1:13" ht="16.5" customHeight="1" thickBot="1">
      <c r="A20" s="82" t="s">
        <v>89</v>
      </c>
      <c r="B20" s="65">
        <f>B19/B4*100</f>
        <v>7.3698964204971986</v>
      </c>
      <c r="C20" s="65">
        <f>C19/C4*100</f>
        <v>7.7448298630943837</v>
      </c>
      <c r="D20" s="65">
        <v>8.1350300020365687</v>
      </c>
      <c r="E20" s="65">
        <v>8.3000000000000007</v>
      </c>
      <c r="F20" s="65">
        <v>8.6</v>
      </c>
      <c r="G20" s="65">
        <v>8.6</v>
      </c>
      <c r="H20" s="147">
        <v>8.6</v>
      </c>
      <c r="I20" s="147">
        <v>8.6999999999999993</v>
      </c>
      <c r="J20" s="212">
        <f>J19/J4*100</f>
        <v>8.2293470749723614</v>
      </c>
      <c r="K20" s="212">
        <f>K19/K4*100</f>
        <v>8.9767647903203418</v>
      </c>
      <c r="L20" s="212">
        <f>L19/L4*100</f>
        <v>11.50151079051853</v>
      </c>
      <c r="M20" s="219">
        <f>M19/M4*100</f>
        <v>11.564423790931084</v>
      </c>
    </row>
    <row r="21" spans="1:13" ht="16.5" customHeight="1">
      <c r="A21" s="73" t="s">
        <v>39</v>
      </c>
      <c r="H21" s="97"/>
      <c r="I21" s="97"/>
      <c r="J21" s="97"/>
      <c r="K21" s="153"/>
      <c r="L21" s="153"/>
      <c r="M21" s="97"/>
    </row>
    <row r="22" spans="1:13" s="4" customFormat="1" ht="29.5" customHeight="1">
      <c r="A22" s="266" t="s">
        <v>90</v>
      </c>
      <c r="B22" s="266"/>
      <c r="C22" s="266"/>
      <c r="D22" s="266"/>
      <c r="E22" s="266"/>
      <c r="F22" s="266"/>
      <c r="G22" s="266"/>
      <c r="H22" s="266"/>
      <c r="I22" s="266"/>
      <c r="J22" s="266"/>
      <c r="K22" s="266"/>
      <c r="L22" s="266"/>
      <c r="M22" s="266"/>
    </row>
    <row r="23" spans="1:13" s="4" customFormat="1" ht="29.5" customHeight="1">
      <c r="A23" s="266" t="s">
        <v>91</v>
      </c>
      <c r="B23" s="266"/>
      <c r="C23" s="266"/>
      <c r="D23" s="266"/>
      <c r="E23" s="266"/>
      <c r="F23" s="266"/>
      <c r="G23" s="266"/>
      <c r="H23" s="266"/>
      <c r="I23" s="266"/>
      <c r="J23" s="266"/>
      <c r="K23" s="266"/>
      <c r="L23" s="266"/>
      <c r="M23" s="266"/>
    </row>
  </sheetData>
  <mergeCells count="2">
    <mergeCell ref="A22:M22"/>
    <mergeCell ref="A23:M23"/>
  </mergeCells>
  <phoneticPr fontId="4"/>
  <pageMargins left="0.6692913385826772" right="0.43307086614173229" top="0.51181102362204722" bottom="0.98425196850393704" header="0.51181102362204722" footer="0.51181102362204722"/>
  <pageSetup paperSize="9" scale="86" orientation="landscape" r:id="rId1"/>
  <headerFooter alignWithMargins="0">
    <oddFooter>&amp;L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5"/>
  <sheetViews>
    <sheetView view="pageBreakPreview" zoomScaleNormal="85" zoomScaleSheetLayoutView="100" workbookViewId="0">
      <pane xSplit="1" ySplit="3" topLeftCell="B4" activePane="bottomRight" state="frozen"/>
      <selection pane="topRight" activeCell="B1" sqref="B1"/>
      <selection pane="bottomLeft" activeCell="A4" sqref="A4"/>
      <selection pane="bottomRight" activeCell="J1" sqref="J1"/>
    </sheetView>
  </sheetViews>
  <sheetFormatPr defaultColWidth="13" defaultRowHeight="16.5" customHeight="1"/>
  <cols>
    <col min="1" max="1" width="40.25" style="84" customWidth="1"/>
    <col min="2" max="7" width="8.33203125" style="2" bestFit="1" customWidth="1"/>
    <col min="8" max="11" width="10" style="2" bestFit="1" customWidth="1"/>
    <col min="12" max="12" width="10.08203125" style="2" bestFit="1" customWidth="1"/>
    <col min="13" max="13" width="10.08203125" style="1" bestFit="1" customWidth="1"/>
    <col min="14" max="16384" width="13" style="2"/>
  </cols>
  <sheetData>
    <row r="1" spans="1:13" ht="16.5" customHeight="1">
      <c r="A1" s="50" t="s">
        <v>92</v>
      </c>
    </row>
    <row r="2" spans="1:13" ht="24.75" customHeight="1">
      <c r="A2" s="206" t="s">
        <v>79</v>
      </c>
    </row>
    <row r="3" spans="1:13" ht="16.5" customHeight="1" thickBot="1">
      <c r="A3" s="66" t="s">
        <v>80</v>
      </c>
      <c r="B3" s="67">
        <v>2016</v>
      </c>
      <c r="C3" s="67">
        <v>2017</v>
      </c>
      <c r="D3" s="67">
        <v>2018</v>
      </c>
      <c r="E3" s="67">
        <v>2019</v>
      </c>
      <c r="F3" s="67">
        <v>2020</v>
      </c>
      <c r="G3" s="67">
        <v>2021</v>
      </c>
      <c r="H3" s="139" t="s">
        <v>44</v>
      </c>
      <c r="I3" s="139" t="s">
        <v>45</v>
      </c>
      <c r="J3" s="139" t="s">
        <v>46</v>
      </c>
      <c r="K3" s="139" t="s">
        <v>47</v>
      </c>
      <c r="L3" s="139" t="s">
        <v>48</v>
      </c>
      <c r="M3" s="116" t="s">
        <v>49</v>
      </c>
    </row>
    <row r="4" spans="1:13" ht="16.5" customHeight="1">
      <c r="A4" s="14" t="s">
        <v>93</v>
      </c>
      <c r="B4" s="26">
        <v>6.7</v>
      </c>
      <c r="C4" s="26">
        <v>13.4</v>
      </c>
      <c r="D4" s="26">
        <v>5.2</v>
      </c>
      <c r="E4" s="26">
        <v>5.7</v>
      </c>
      <c r="F4" s="26">
        <v>4.3</v>
      </c>
      <c r="G4" s="26">
        <v>5.0999999999999996</v>
      </c>
      <c r="H4" s="7">
        <v>5.2</v>
      </c>
      <c r="I4" s="7">
        <v>7.4</v>
      </c>
      <c r="J4" s="7">
        <v>5.5</v>
      </c>
      <c r="K4" s="7">
        <v>5.3</v>
      </c>
      <c r="L4" s="7">
        <v>6.7</v>
      </c>
      <c r="M4" s="101">
        <v>7.5</v>
      </c>
    </row>
    <row r="5" spans="1:13" ht="16.5" customHeight="1">
      <c r="A5" s="136" t="s">
        <v>94</v>
      </c>
      <c r="B5" s="34">
        <v>9.1999999999999993</v>
      </c>
      <c r="C5" s="34">
        <v>19.8</v>
      </c>
      <c r="D5" s="34">
        <v>7.8</v>
      </c>
      <c r="E5" s="34">
        <v>9.6999999999999993</v>
      </c>
      <c r="F5" s="34">
        <v>6.7</v>
      </c>
      <c r="G5" s="34">
        <v>8.6</v>
      </c>
      <c r="H5" s="163">
        <v>8.5</v>
      </c>
      <c r="I5" s="163">
        <v>11.6</v>
      </c>
      <c r="J5" s="163">
        <v>8.3000000000000007</v>
      </c>
      <c r="K5" s="163">
        <v>7.9</v>
      </c>
      <c r="L5" s="255">
        <v>9.5318985391466402</v>
      </c>
      <c r="M5" s="242">
        <v>9.8000000000000007</v>
      </c>
    </row>
    <row r="6" spans="1:13" ht="16.5" customHeight="1">
      <c r="A6" s="14" t="s">
        <v>95</v>
      </c>
      <c r="B6" s="30">
        <v>4.7</v>
      </c>
      <c r="C6" s="30">
        <v>9.3000000000000007</v>
      </c>
      <c r="D6" s="30">
        <v>3.6</v>
      </c>
      <c r="E6" s="30">
        <v>4.2</v>
      </c>
      <c r="F6" s="30">
        <v>2.9</v>
      </c>
      <c r="G6" s="30">
        <v>3.6</v>
      </c>
      <c r="H6" s="164">
        <v>3.5</v>
      </c>
      <c r="I6" s="164">
        <v>4.9000000000000004</v>
      </c>
      <c r="J6" s="164">
        <v>3.7</v>
      </c>
      <c r="K6" s="164">
        <v>3.8</v>
      </c>
      <c r="L6" s="164">
        <v>4.9000000000000004</v>
      </c>
      <c r="M6" s="261">
        <v>5</v>
      </c>
    </row>
    <row r="7" spans="1:13" ht="16.5" customHeight="1">
      <c r="A7" s="17" t="s">
        <v>31</v>
      </c>
      <c r="B7" s="35">
        <f>1450585*0+1450564</f>
        <v>1450564</v>
      </c>
      <c r="C7" s="35">
        <v>1664333</v>
      </c>
      <c r="D7" s="35">
        <v>1905209</v>
      </c>
      <c r="E7" s="35">
        <v>1992480</v>
      </c>
      <c r="F7" s="35">
        <v>1943379</v>
      </c>
      <c r="G7" s="35">
        <v>2401433</v>
      </c>
      <c r="H7" s="165">
        <v>2359663</v>
      </c>
      <c r="I7" s="165">
        <v>3041653</v>
      </c>
      <c r="J7" s="165">
        <v>3147027</v>
      </c>
      <c r="K7" s="165">
        <v>3415304</v>
      </c>
      <c r="L7" s="165">
        <v>3541415</v>
      </c>
      <c r="M7" s="185">
        <f>'1'!M33</f>
        <v>4415175</v>
      </c>
    </row>
    <row r="8" spans="1:13" ht="16.5" customHeight="1">
      <c r="A8" s="14" t="s">
        <v>96</v>
      </c>
      <c r="B8" s="31">
        <v>0.81</v>
      </c>
      <c r="C8" s="31">
        <v>0.75653006936342704</v>
      </c>
      <c r="D8" s="31">
        <v>0.71255471990524277</v>
      </c>
      <c r="E8" s="31">
        <v>0.71</v>
      </c>
      <c r="F8" s="31">
        <v>0.69</v>
      </c>
      <c r="G8" s="31">
        <v>0.68</v>
      </c>
      <c r="H8" s="7">
        <v>0.69</v>
      </c>
      <c r="I8" s="210">
        <v>0.7</v>
      </c>
      <c r="J8" s="210">
        <v>0.70477613966144637</v>
      </c>
      <c r="K8" s="210">
        <v>0.64119767180325526</v>
      </c>
      <c r="L8" s="210">
        <v>0.63386365988569326</v>
      </c>
      <c r="M8" s="262">
        <v>0.62962148357525016</v>
      </c>
    </row>
    <row r="9" spans="1:13" ht="16.5" customHeight="1">
      <c r="A9" s="17" t="s">
        <v>97</v>
      </c>
      <c r="B9" s="35">
        <v>487639</v>
      </c>
      <c r="C9" s="35">
        <v>464667</v>
      </c>
      <c r="D9" s="35">
        <v>545641</v>
      </c>
      <c r="E9" s="35">
        <v>603110</v>
      </c>
      <c r="F9" s="35">
        <v>611150</v>
      </c>
      <c r="G9" s="35">
        <v>784371</v>
      </c>
      <c r="H9" s="165">
        <v>776444</v>
      </c>
      <c r="I9" s="165">
        <v>945042</v>
      </c>
      <c r="J9" s="165">
        <v>930288</v>
      </c>
      <c r="K9" s="165">
        <v>991072</v>
      </c>
      <c r="L9" s="165">
        <v>1030122</v>
      </c>
      <c r="M9" s="185">
        <v>1225762</v>
      </c>
    </row>
    <row r="10" spans="1:13" ht="16.5" customHeight="1">
      <c r="A10" s="14" t="s">
        <v>98</v>
      </c>
      <c r="B10" s="26">
        <v>2.5</v>
      </c>
      <c r="C10" s="26">
        <v>2.4745344458608893</v>
      </c>
      <c r="D10" s="26">
        <v>2.5175431650546169</v>
      </c>
      <c r="E10" s="26">
        <v>2.4</v>
      </c>
      <c r="F10" s="26">
        <v>2.2000000000000002</v>
      </c>
      <c r="G10" s="26">
        <v>2.1</v>
      </c>
      <c r="H10" s="7">
        <v>2.1</v>
      </c>
      <c r="I10" s="7">
        <v>2.2000000000000002</v>
      </c>
      <c r="J10" s="7">
        <v>2.2999999999999998</v>
      </c>
      <c r="K10" s="7">
        <v>2.2000000000000002</v>
      </c>
      <c r="L10" s="256">
        <v>2.1816866663961996</v>
      </c>
      <c r="M10" s="263">
        <v>2.2206992912756154</v>
      </c>
    </row>
    <row r="11" spans="1:13" ht="16.5" customHeight="1">
      <c r="A11" s="136" t="s">
        <v>99</v>
      </c>
      <c r="B11" s="35">
        <v>157129</v>
      </c>
      <c r="C11" s="35">
        <v>154499</v>
      </c>
      <c r="D11" s="35">
        <v>207532</v>
      </c>
      <c r="E11" s="35">
        <v>226892</v>
      </c>
      <c r="F11" s="35">
        <v>236453</v>
      </c>
      <c r="G11" s="35">
        <v>288854</v>
      </c>
      <c r="H11" s="165">
        <v>288346</v>
      </c>
      <c r="I11" s="165">
        <v>437004</v>
      </c>
      <c r="J11" s="165">
        <v>443001</v>
      </c>
      <c r="K11" s="165">
        <v>406084</v>
      </c>
      <c r="L11" s="165">
        <v>410038</v>
      </c>
      <c r="M11" s="185">
        <v>585448</v>
      </c>
    </row>
    <row r="12" spans="1:13" ht="16.5" customHeight="1">
      <c r="A12" s="14" t="s">
        <v>100</v>
      </c>
      <c r="B12" s="32">
        <v>7.48</v>
      </c>
      <c r="C12" s="32">
        <v>7.5619456531505511</v>
      </c>
      <c r="D12" s="32">
        <v>7.0256054713395502</v>
      </c>
      <c r="E12" s="32">
        <v>6.3615546102425284</v>
      </c>
      <c r="F12" s="32">
        <v>5.88</v>
      </c>
      <c r="G12" s="32">
        <v>5.63</v>
      </c>
      <c r="H12" s="7">
        <v>5.64</v>
      </c>
      <c r="I12" s="7">
        <v>5.24</v>
      </c>
      <c r="J12" s="7">
        <v>4.96</v>
      </c>
      <c r="K12" s="7">
        <v>4.96</v>
      </c>
      <c r="L12" s="259">
        <v>5.4031284538341078</v>
      </c>
      <c r="M12" s="264">
        <v>5.0323560552333229</v>
      </c>
    </row>
    <row r="13" spans="1:13" ht="16.5" customHeight="1">
      <c r="A13" s="136" t="s">
        <v>101</v>
      </c>
      <c r="B13" s="35">
        <f>'1'!B34</f>
        <v>675361</v>
      </c>
      <c r="C13" s="35">
        <v>793614</v>
      </c>
      <c r="D13" s="35">
        <v>824634</v>
      </c>
      <c r="E13" s="35">
        <v>877290</v>
      </c>
      <c r="F13" s="35">
        <v>843957</v>
      </c>
      <c r="G13" s="35">
        <v>1003538</v>
      </c>
      <c r="H13" s="165">
        <v>958929</v>
      </c>
      <c r="I13" s="165">
        <v>1300317</v>
      </c>
      <c r="J13" s="165">
        <v>1458446</v>
      </c>
      <c r="K13" s="165">
        <v>1707332</v>
      </c>
      <c r="L13" s="165">
        <v>1800070</v>
      </c>
      <c r="M13" s="185">
        <f>'1'!M34</f>
        <v>2187234</v>
      </c>
    </row>
    <row r="14" spans="1:13" ht="16.5" customHeight="1">
      <c r="A14" s="14" t="s">
        <v>102</v>
      </c>
      <c r="B14" s="30">
        <v>46.6</v>
      </c>
      <c r="C14" s="30">
        <v>47.7</v>
      </c>
      <c r="D14" s="30">
        <v>43.3</v>
      </c>
      <c r="E14" s="30">
        <v>44</v>
      </c>
      <c r="F14" s="30">
        <v>43.4</v>
      </c>
      <c r="G14" s="30">
        <v>41.8</v>
      </c>
      <c r="H14" s="164">
        <v>40.6</v>
      </c>
      <c r="I14" s="164">
        <v>42.8</v>
      </c>
      <c r="J14" s="164">
        <v>46.3</v>
      </c>
      <c r="K14" s="240">
        <v>50</v>
      </c>
      <c r="L14" s="240">
        <v>50.8</v>
      </c>
      <c r="M14" s="220">
        <v>49.5</v>
      </c>
    </row>
    <row r="15" spans="1:13" ht="16.5" customHeight="1">
      <c r="A15" s="17" t="s">
        <v>103</v>
      </c>
      <c r="B15" s="37">
        <v>1.64</v>
      </c>
      <c r="C15" s="37">
        <v>1.8135403711101898</v>
      </c>
      <c r="D15" s="37">
        <v>1.4923396076857638</v>
      </c>
      <c r="E15" s="37">
        <v>1.2914170119834247</v>
      </c>
      <c r="F15" s="37">
        <v>1.34</v>
      </c>
      <c r="G15" s="37">
        <v>1.22</v>
      </c>
      <c r="H15" s="166">
        <v>1.2</v>
      </c>
      <c r="I15" s="163">
        <v>1.44</v>
      </c>
      <c r="J15" s="166">
        <v>1.6</v>
      </c>
      <c r="K15" s="166">
        <v>1.7</v>
      </c>
      <c r="L15" s="166">
        <v>1.6722120058991679</v>
      </c>
      <c r="M15" s="265">
        <v>1.5593279328313894</v>
      </c>
    </row>
    <row r="16" spans="1:13" ht="16.5" customHeight="1">
      <c r="A16" s="14" t="s">
        <v>104</v>
      </c>
      <c r="B16" s="33">
        <v>0.56000000000000005</v>
      </c>
      <c r="C16" s="33">
        <v>0.53084875014805688</v>
      </c>
      <c r="D16" s="33">
        <v>0.73471139923893514</v>
      </c>
      <c r="E16" s="33">
        <v>0.7</v>
      </c>
      <c r="F16" s="33">
        <v>0.62430905839989481</v>
      </c>
      <c r="G16" s="33">
        <v>0.65</v>
      </c>
      <c r="H16" s="7">
        <v>0.68</v>
      </c>
      <c r="I16" s="7">
        <v>0.69</v>
      </c>
      <c r="J16" s="7">
        <v>0.61</v>
      </c>
      <c r="K16" s="7">
        <v>0.46</v>
      </c>
      <c r="L16" s="210">
        <v>0.35689556517246551</v>
      </c>
      <c r="M16" s="262">
        <v>0.39897377235357534</v>
      </c>
    </row>
    <row r="17" spans="1:13" ht="16.5" customHeight="1" thickBot="1">
      <c r="A17" s="69" t="s">
        <v>105</v>
      </c>
      <c r="B17" s="81">
        <v>31.4</v>
      </c>
      <c r="C17" s="81">
        <v>62.080513418903152</v>
      </c>
      <c r="D17" s="81">
        <v>21.533512665321677</v>
      </c>
      <c r="E17" s="81">
        <v>27.814440433212997</v>
      </c>
      <c r="F17" s="81">
        <v>29.4</v>
      </c>
      <c r="G17" s="81">
        <v>34.4</v>
      </c>
      <c r="H17" s="167">
        <v>56.9</v>
      </c>
      <c r="I17" s="167">
        <v>32.6</v>
      </c>
      <c r="J17" s="167">
        <v>29.2</v>
      </c>
      <c r="K17" s="241">
        <v>50</v>
      </c>
      <c r="L17" s="241">
        <v>55.41814791796147</v>
      </c>
      <c r="M17" s="221">
        <v>55.41814791796147</v>
      </c>
    </row>
    <row r="18" spans="1:13" ht="16.5" customHeight="1">
      <c r="A18" s="73" t="s">
        <v>39</v>
      </c>
      <c r="H18" s="1"/>
      <c r="I18" s="1"/>
    </row>
    <row r="19" spans="1:13" s="4" customFormat="1" ht="30" customHeight="1">
      <c r="A19" s="266" t="s">
        <v>106</v>
      </c>
      <c r="B19" s="266"/>
      <c r="C19" s="266"/>
      <c r="D19" s="266"/>
      <c r="E19" s="266"/>
      <c r="F19" s="266"/>
      <c r="G19" s="266"/>
      <c r="H19" s="266"/>
      <c r="I19" s="266"/>
      <c r="J19" s="266"/>
      <c r="K19" s="266"/>
      <c r="L19" s="266"/>
      <c r="M19" s="266"/>
    </row>
    <row r="20" spans="1:13" s="4" customFormat="1" ht="30" customHeight="1">
      <c r="A20" s="266" t="s">
        <v>107</v>
      </c>
      <c r="B20" s="266"/>
      <c r="C20" s="266"/>
      <c r="D20" s="266"/>
      <c r="E20" s="266"/>
      <c r="F20" s="266"/>
      <c r="G20" s="266"/>
      <c r="H20" s="266"/>
      <c r="I20" s="266"/>
      <c r="J20" s="266"/>
      <c r="K20" s="266"/>
      <c r="L20" s="266"/>
      <c r="M20" s="266"/>
    </row>
    <row r="21" spans="1:13" s="4" customFormat="1" ht="16.5" customHeight="1">
      <c r="A21" s="5"/>
      <c r="M21" s="6"/>
    </row>
    <row r="22" spans="1:13" s="4" customFormat="1" ht="16.5" customHeight="1">
      <c r="A22" s="134"/>
      <c r="M22" s="6"/>
    </row>
    <row r="23" spans="1:13" s="4" customFormat="1" ht="16.5" customHeight="1">
      <c r="A23" s="3"/>
      <c r="M23" s="6"/>
    </row>
    <row r="24" spans="1:13" s="4" customFormat="1" ht="16.5" customHeight="1">
      <c r="A24" s="85"/>
      <c r="M24" s="6"/>
    </row>
    <row r="25" spans="1:13" ht="15.5">
      <c r="A25" s="114"/>
    </row>
  </sheetData>
  <mergeCells count="2">
    <mergeCell ref="A19:M19"/>
    <mergeCell ref="A20:M20"/>
  </mergeCells>
  <phoneticPr fontId="4"/>
  <pageMargins left="0.51181102362204722" right="0.47244094488188981" top="0.51181102362204722" bottom="0.98425196850393704" header="0.51181102362204722" footer="0.51181102362204722"/>
  <pageSetup paperSize="9" scale="85" orientation="landscape" r:id="rId1"/>
  <headerFooter alignWithMargins="0">
    <oddFooter>&amp;L
&amp;A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L43"/>
  <sheetViews>
    <sheetView zoomScale="85" zoomScaleNormal="85" workbookViewId="0">
      <selection activeCell="L4" sqref="L4"/>
    </sheetView>
  </sheetViews>
  <sheetFormatPr defaultColWidth="13" defaultRowHeight="16.5" customHeight="1" outlineLevelRow="1"/>
  <cols>
    <col min="1" max="1" width="41.58203125" style="84" customWidth="1"/>
    <col min="2" max="2" width="9.5" style="2" customWidth="1"/>
    <col min="3" max="3" width="9.5" style="1" customWidth="1"/>
    <col min="4" max="11" width="9.5" style="2" customWidth="1"/>
    <col min="12" max="12" width="9.58203125" style="1" customWidth="1"/>
    <col min="13" max="16384" width="13" style="2"/>
  </cols>
  <sheetData>
    <row r="1" spans="1:12" ht="16.5" customHeight="1">
      <c r="A1" s="50" t="s">
        <v>108</v>
      </c>
    </row>
    <row r="2" spans="1:12" ht="27" customHeight="1">
      <c r="A2" s="206" t="s">
        <v>109</v>
      </c>
      <c r="C2" s="2"/>
    </row>
    <row r="3" spans="1:12" ht="16.5" customHeight="1" thickBot="1">
      <c r="A3" s="66" t="s">
        <v>80</v>
      </c>
      <c r="B3" s="67">
        <v>2007</v>
      </c>
      <c r="C3" s="67">
        <v>2008</v>
      </c>
      <c r="D3" s="67">
        <v>2009</v>
      </c>
      <c r="E3" s="67">
        <v>2010</v>
      </c>
      <c r="F3" s="67">
        <v>2011</v>
      </c>
      <c r="G3" s="67">
        <v>2012</v>
      </c>
      <c r="H3" s="67">
        <v>2013</v>
      </c>
      <c r="I3" s="67">
        <v>2014</v>
      </c>
      <c r="J3" s="67">
        <v>2015</v>
      </c>
      <c r="K3" s="67">
        <v>2016</v>
      </c>
      <c r="L3" s="68">
        <v>2017</v>
      </c>
    </row>
    <row r="4" spans="1:12" ht="16.5" customHeight="1">
      <c r="A4" s="14" t="s">
        <v>5</v>
      </c>
      <c r="B4" s="38">
        <v>862025</v>
      </c>
      <c r="C4" s="38">
        <v>866285</v>
      </c>
      <c r="D4" s="38">
        <v>727400</v>
      </c>
      <c r="E4" s="38">
        <v>792624</v>
      </c>
      <c r="F4" s="38">
        <v>862492</v>
      </c>
      <c r="G4" s="38">
        <v>802534</v>
      </c>
      <c r="H4" s="38">
        <v>841847</v>
      </c>
      <c r="I4" s="38">
        <v>984525</v>
      </c>
      <c r="J4" s="38">
        <v>1082560</v>
      </c>
      <c r="K4" s="38">
        <f>'1'!C4</f>
        <v>1178257</v>
      </c>
      <c r="L4" s="40">
        <f>'1'!D4</f>
        <v>1271747</v>
      </c>
    </row>
    <row r="5" spans="1:12" ht="16.5" customHeight="1">
      <c r="A5" s="17" t="s">
        <v>7</v>
      </c>
      <c r="B5" s="35">
        <v>622819</v>
      </c>
      <c r="C5" s="35">
        <v>635529</v>
      </c>
      <c r="D5" s="35">
        <v>605943</v>
      </c>
      <c r="E5" s="105">
        <v>604454</v>
      </c>
      <c r="F5" s="105">
        <v>645514</v>
      </c>
      <c r="G5" s="35">
        <v>624271</v>
      </c>
      <c r="H5" s="35">
        <v>668258</v>
      </c>
      <c r="I5" s="35">
        <v>763572</v>
      </c>
      <c r="J5" s="35">
        <v>802225</v>
      </c>
      <c r="K5" s="35">
        <f>'1'!C6</f>
        <v>855948</v>
      </c>
      <c r="L5" s="36">
        <f>'1'!D6</f>
        <v>928525</v>
      </c>
    </row>
    <row r="6" spans="1:12" ht="16.5" customHeight="1">
      <c r="A6" s="14" t="s">
        <v>110</v>
      </c>
      <c r="B6" s="38">
        <v>239206</v>
      </c>
      <c r="C6" s="38">
        <v>230756</v>
      </c>
      <c r="D6" s="38">
        <v>121457</v>
      </c>
      <c r="E6" s="38">
        <f>E4-E5</f>
        <v>188170</v>
      </c>
      <c r="F6" s="38">
        <f>F4-F5</f>
        <v>216978</v>
      </c>
      <c r="G6" s="38">
        <f>G4-G5</f>
        <v>178263</v>
      </c>
      <c r="H6" s="38">
        <f>H4-H5</f>
        <v>173589</v>
      </c>
      <c r="I6" s="38">
        <f>I4-I5</f>
        <v>220953</v>
      </c>
      <c r="J6" s="38">
        <v>280335</v>
      </c>
      <c r="K6" s="38">
        <f>K4-K5</f>
        <v>322309</v>
      </c>
      <c r="L6" s="40">
        <f>L4-L5</f>
        <v>343222</v>
      </c>
    </row>
    <row r="7" spans="1:12" ht="16.5" customHeight="1">
      <c r="A7" s="17" t="s">
        <v>8</v>
      </c>
      <c r="B7" s="35">
        <v>159106</v>
      </c>
      <c r="C7" s="35">
        <v>158921</v>
      </c>
      <c r="D7" s="35">
        <v>159878</v>
      </c>
      <c r="E7" s="105">
        <v>153852</v>
      </c>
      <c r="F7" s="105">
        <v>149114</v>
      </c>
      <c r="G7" s="35">
        <v>157886</v>
      </c>
      <c r="H7" s="35">
        <f>151535-1561</f>
        <v>149974</v>
      </c>
      <c r="I7" s="35">
        <v>184337</v>
      </c>
      <c r="J7" s="35">
        <v>207876</v>
      </c>
      <c r="K7" s="35">
        <f>'1'!C7</f>
        <v>239446</v>
      </c>
      <c r="L7" s="36">
        <f>'1 (項目追加前ver)'!L7</f>
        <v>113649</v>
      </c>
    </row>
    <row r="8" spans="1:12" ht="16.5" customHeight="1">
      <c r="A8" s="14" t="s">
        <v>111</v>
      </c>
      <c r="B8" s="38"/>
      <c r="C8" s="38"/>
      <c r="D8" s="38"/>
      <c r="E8" s="38"/>
      <c r="F8" s="38"/>
      <c r="G8" s="38"/>
      <c r="H8" s="38"/>
      <c r="I8" s="38"/>
      <c r="J8" s="38"/>
      <c r="K8" s="38"/>
      <c r="L8" s="40"/>
    </row>
    <row r="9" spans="1:12" ht="16.5" customHeight="1">
      <c r="A9" s="17" t="s">
        <v>10</v>
      </c>
      <c r="B9" s="39"/>
      <c r="C9" s="39"/>
      <c r="D9" s="39"/>
      <c r="E9" s="39"/>
      <c r="F9" s="39"/>
      <c r="G9" s="39"/>
      <c r="H9" s="39"/>
      <c r="I9" s="39"/>
      <c r="J9" s="39"/>
      <c r="K9" s="39"/>
      <c r="L9" s="48"/>
    </row>
    <row r="10" spans="1:12" ht="16.5" customHeight="1">
      <c r="A10" s="14" t="s">
        <v>11</v>
      </c>
      <c r="B10" s="9"/>
      <c r="C10" s="9"/>
      <c r="D10" s="9"/>
      <c r="E10" s="9"/>
      <c r="F10" s="9"/>
      <c r="G10" s="9"/>
      <c r="H10" s="9"/>
      <c r="I10" s="9"/>
      <c r="J10" s="9"/>
      <c r="K10" s="9"/>
      <c r="L10" s="92"/>
    </row>
    <row r="11" spans="1:12" ht="16.5" customHeight="1">
      <c r="A11" s="19" t="s">
        <v>12</v>
      </c>
      <c r="B11" s="18"/>
      <c r="C11" s="18">
        <v>-15340</v>
      </c>
      <c r="D11" s="39"/>
      <c r="E11" s="39"/>
      <c r="F11" s="39"/>
      <c r="G11" s="39"/>
      <c r="H11" s="39"/>
      <c r="I11" s="39"/>
      <c r="J11" s="39"/>
      <c r="K11" s="39"/>
      <c r="L11" s="48"/>
    </row>
    <row r="12" spans="1:12" ht="16.5" customHeight="1">
      <c r="A12" s="80" t="s">
        <v>13</v>
      </c>
      <c r="B12" s="8"/>
      <c r="C12" s="8"/>
      <c r="D12" s="46"/>
      <c r="E12" s="46"/>
      <c r="F12" s="46"/>
      <c r="G12" s="46">
        <v>6570</v>
      </c>
      <c r="H12" s="46">
        <v>1561</v>
      </c>
      <c r="I12" s="46"/>
      <c r="J12" s="46"/>
      <c r="K12" s="46"/>
      <c r="L12" s="47"/>
    </row>
    <row r="13" spans="1:12" ht="16.5" customHeight="1">
      <c r="A13" s="19" t="s">
        <v>14</v>
      </c>
      <c r="B13" s="18"/>
      <c r="C13" s="18"/>
      <c r="D13" s="39"/>
      <c r="E13" s="39"/>
      <c r="F13" s="39"/>
      <c r="G13" s="39">
        <v>-6732</v>
      </c>
      <c r="H13" s="39"/>
      <c r="I13" s="39"/>
      <c r="J13" s="39"/>
      <c r="K13" s="39"/>
      <c r="L13" s="48"/>
    </row>
    <row r="14" spans="1:12" ht="16.5" customHeight="1">
      <c r="A14" s="14" t="s">
        <v>15</v>
      </c>
      <c r="B14" s="38">
        <v>510</v>
      </c>
      <c r="C14" s="9" t="s">
        <v>16</v>
      </c>
      <c r="D14" s="9">
        <v>15884</v>
      </c>
      <c r="E14" s="9">
        <v>4875</v>
      </c>
      <c r="F14" s="9" t="s">
        <v>16</v>
      </c>
      <c r="G14" s="9" t="s">
        <v>16</v>
      </c>
      <c r="H14" s="9" t="s">
        <v>16</v>
      </c>
      <c r="I14" s="9" t="s">
        <v>16</v>
      </c>
      <c r="J14" s="9" t="s">
        <v>16</v>
      </c>
      <c r="K14" s="9" t="s">
        <v>16</v>
      </c>
      <c r="L14" s="92" t="s">
        <v>16</v>
      </c>
    </row>
    <row r="15" spans="1:12" ht="16.5" customHeight="1">
      <c r="A15" s="17" t="s">
        <v>57</v>
      </c>
      <c r="B15" s="51">
        <v>79590</v>
      </c>
      <c r="C15" s="51">
        <v>87175</v>
      </c>
      <c r="D15" s="51">
        <v>-54305</v>
      </c>
      <c r="E15" s="107">
        <f>E6-E7-E14</f>
        <v>29443</v>
      </c>
      <c r="F15" s="107">
        <f>F6-F7</f>
        <v>67864</v>
      </c>
      <c r="G15" s="51">
        <f>G6-G7-G12-G13</f>
        <v>20539</v>
      </c>
      <c r="H15" s="51">
        <f>H6-H7-H12-H13</f>
        <v>22054</v>
      </c>
      <c r="I15" s="51">
        <f>I6-I7-I12-I13</f>
        <v>36616</v>
      </c>
      <c r="J15" s="51">
        <v>72459</v>
      </c>
      <c r="K15" s="51">
        <f>K6-K7-K12-K13</f>
        <v>82863</v>
      </c>
      <c r="L15" s="56">
        <f>L6-L7-L12-L13</f>
        <v>229573</v>
      </c>
    </row>
    <row r="16" spans="1:12" ht="16.5" customHeight="1">
      <c r="A16" s="14" t="s">
        <v>112</v>
      </c>
      <c r="B16" s="38"/>
      <c r="C16" s="38"/>
      <c r="D16" s="38"/>
      <c r="E16" s="38"/>
      <c r="F16" s="38"/>
      <c r="G16" s="38"/>
      <c r="H16" s="38"/>
      <c r="I16" s="38"/>
      <c r="J16" s="38"/>
      <c r="K16" s="38"/>
      <c r="L16" s="40"/>
    </row>
    <row r="17" spans="1:12" ht="16.5" customHeight="1">
      <c r="A17" s="17" t="s">
        <v>113</v>
      </c>
      <c r="B17" s="35">
        <v>7025</v>
      </c>
      <c r="C17" s="35">
        <v>8284</v>
      </c>
      <c r="D17" s="35">
        <v>3980</v>
      </c>
      <c r="E17" s="35">
        <v>3130</v>
      </c>
      <c r="F17" s="35">
        <v>1354</v>
      </c>
      <c r="G17" s="35">
        <v>1986</v>
      </c>
      <c r="H17" s="35">
        <v>2893</v>
      </c>
      <c r="I17" s="35">
        <v>3365</v>
      </c>
      <c r="J17" s="35">
        <v>4075</v>
      </c>
      <c r="K17" s="35">
        <v>4496</v>
      </c>
      <c r="L17" s="36">
        <v>4152</v>
      </c>
    </row>
    <row r="18" spans="1:12" ht="16.5" customHeight="1">
      <c r="A18" s="14" t="s">
        <v>114</v>
      </c>
      <c r="B18" s="38">
        <v>-200</v>
      </c>
      <c r="C18" s="38">
        <v>-218</v>
      </c>
      <c r="D18" s="38">
        <v>-2336</v>
      </c>
      <c r="E18" s="38">
        <v>-4010</v>
      </c>
      <c r="F18" s="38">
        <v>-2849</v>
      </c>
      <c r="G18" s="38">
        <v>-2977</v>
      </c>
      <c r="H18" s="38">
        <v>-2842</v>
      </c>
      <c r="I18" s="38">
        <v>-3457</v>
      </c>
      <c r="J18" s="38">
        <v>-2992</v>
      </c>
      <c r="K18" s="38">
        <v>-3116</v>
      </c>
      <c r="L18" s="40">
        <v>3428</v>
      </c>
    </row>
    <row r="19" spans="1:12" ht="16.5" customHeight="1">
      <c r="A19" s="43" t="s">
        <v>115</v>
      </c>
      <c r="B19" s="44">
        <v>1489</v>
      </c>
      <c r="C19" s="44">
        <v>1969</v>
      </c>
      <c r="D19" s="44">
        <v>-17011</v>
      </c>
      <c r="E19" s="44">
        <v>-1678</v>
      </c>
      <c r="F19" s="44">
        <v>-780</v>
      </c>
      <c r="G19" s="44">
        <v>-557</v>
      </c>
      <c r="H19" s="44">
        <v>-2388</v>
      </c>
      <c r="I19" s="44">
        <v>1444</v>
      </c>
      <c r="J19" s="44">
        <v>725</v>
      </c>
      <c r="K19" s="44">
        <v>1462</v>
      </c>
      <c r="L19" s="45">
        <v>1396</v>
      </c>
    </row>
    <row r="20" spans="1:12" ht="16.5" customHeight="1">
      <c r="A20" s="14" t="s">
        <v>116</v>
      </c>
      <c r="B20" s="38">
        <v>3</v>
      </c>
      <c r="C20" s="38">
        <f>44+3</f>
        <v>47</v>
      </c>
      <c r="D20" s="38">
        <v>172</v>
      </c>
      <c r="E20" s="38">
        <v>146</v>
      </c>
      <c r="F20" s="38">
        <v>150</v>
      </c>
      <c r="G20" s="38">
        <v>1137</v>
      </c>
      <c r="H20" s="38">
        <v>476</v>
      </c>
      <c r="I20" s="38">
        <v>2583</v>
      </c>
      <c r="J20" s="38">
        <v>1422</v>
      </c>
      <c r="K20" s="38">
        <f>261-1839</f>
        <v>-1578</v>
      </c>
      <c r="L20" s="117"/>
    </row>
    <row r="21" spans="1:12" ht="16.5" hidden="1" customHeight="1" outlineLevel="1">
      <c r="A21" s="43" t="s">
        <v>117</v>
      </c>
      <c r="B21" s="62"/>
      <c r="C21" s="62"/>
      <c r="D21" s="62"/>
      <c r="E21" s="62"/>
      <c r="F21" s="62"/>
      <c r="G21" s="62"/>
      <c r="H21" s="62"/>
      <c r="I21" s="62"/>
      <c r="J21" s="62"/>
      <c r="K21" s="62"/>
      <c r="L21" s="118"/>
    </row>
    <row r="22" spans="1:12" ht="16.5" customHeight="1" collapsed="1">
      <c r="A22" s="43" t="s">
        <v>118</v>
      </c>
      <c r="B22" s="44">
        <v>-215</v>
      </c>
      <c r="C22" s="44">
        <f>-1513-625+10</f>
        <v>-2128</v>
      </c>
      <c r="D22" s="61">
        <v>-6621</v>
      </c>
      <c r="E22" s="61">
        <v>-1509</v>
      </c>
      <c r="F22" s="61">
        <v>-259</v>
      </c>
      <c r="G22" s="61">
        <v>-5373</v>
      </c>
      <c r="H22" s="61">
        <v>-1190</v>
      </c>
      <c r="I22" s="61">
        <v>-447</v>
      </c>
      <c r="J22" s="61">
        <v>-150</v>
      </c>
      <c r="K22" s="61">
        <v>-1567</v>
      </c>
      <c r="L22" s="119"/>
    </row>
    <row r="23" spans="1:12" ht="16.5" customHeight="1">
      <c r="A23" s="14" t="s">
        <v>119</v>
      </c>
      <c r="B23" s="38">
        <v>973</v>
      </c>
      <c r="C23" s="38">
        <v>-3670</v>
      </c>
      <c r="D23" s="38">
        <v>-5392</v>
      </c>
      <c r="E23" s="38">
        <v>-1118</v>
      </c>
      <c r="F23" s="38">
        <v>-2285</v>
      </c>
      <c r="G23" s="38">
        <v>-787</v>
      </c>
      <c r="H23" s="38">
        <v>-136</v>
      </c>
      <c r="I23" s="38">
        <v>-1302</v>
      </c>
      <c r="J23" s="38">
        <v>-1846</v>
      </c>
      <c r="K23" s="38">
        <v>-2394</v>
      </c>
      <c r="L23" s="40">
        <v>368</v>
      </c>
    </row>
    <row r="24" spans="1:12" ht="16.5" customHeight="1">
      <c r="A24" s="43" t="s">
        <v>120</v>
      </c>
      <c r="B24" s="44">
        <v>0</v>
      </c>
      <c r="C24" s="44">
        <v>46</v>
      </c>
      <c r="D24" s="44">
        <v>-117</v>
      </c>
      <c r="E24" s="44">
        <v>1172</v>
      </c>
      <c r="F24" s="44">
        <v>1324</v>
      </c>
      <c r="G24" s="44">
        <v>700</v>
      </c>
      <c r="H24" s="44">
        <v>898</v>
      </c>
      <c r="I24" s="44">
        <v>970</v>
      </c>
      <c r="J24" s="44">
        <v>824</v>
      </c>
      <c r="K24" s="44">
        <v>1122</v>
      </c>
      <c r="L24" s="45">
        <v>489</v>
      </c>
    </row>
    <row r="25" spans="1:12" ht="16.5" customHeight="1">
      <c r="A25" s="14" t="s">
        <v>1</v>
      </c>
      <c r="B25" s="38">
        <v>9075</v>
      </c>
      <c r="C25" s="38">
        <v>4330</v>
      </c>
      <c r="D25" s="38">
        <v>-27325</v>
      </c>
      <c r="E25" s="38">
        <f t="shared" ref="E25:K25" si="0">SUM(E17:E24)</f>
        <v>-3867</v>
      </c>
      <c r="F25" s="38">
        <f t="shared" si="0"/>
        <v>-3345</v>
      </c>
      <c r="G25" s="38">
        <f t="shared" si="0"/>
        <v>-5871</v>
      </c>
      <c r="H25" s="38">
        <f t="shared" si="0"/>
        <v>-2289</v>
      </c>
      <c r="I25" s="38">
        <f t="shared" si="0"/>
        <v>3156</v>
      </c>
      <c r="J25" s="38">
        <f t="shared" si="0"/>
        <v>2058</v>
      </c>
      <c r="K25" s="38">
        <f t="shared" si="0"/>
        <v>-1575</v>
      </c>
      <c r="L25" s="40">
        <f>SUM(L17:L24)</f>
        <v>9833</v>
      </c>
    </row>
    <row r="26" spans="1:12" ht="16.5" customHeight="1">
      <c r="A26" s="43" t="s">
        <v>121</v>
      </c>
      <c r="B26" s="44">
        <v>88665</v>
      </c>
      <c r="C26" s="44">
        <v>91505</v>
      </c>
      <c r="D26" s="44">
        <v>-81630</v>
      </c>
      <c r="E26" s="44"/>
      <c r="F26" s="44"/>
      <c r="G26" s="44"/>
      <c r="H26" s="44"/>
      <c r="I26" s="44"/>
      <c r="J26" s="44">
        <f>J15+J25</f>
        <v>74517</v>
      </c>
      <c r="K26" s="44">
        <f>K15+K25</f>
        <v>81288</v>
      </c>
      <c r="L26" s="45">
        <f>L15+L25</f>
        <v>239406</v>
      </c>
    </row>
    <row r="27" spans="1:12" ht="16.5" customHeight="1">
      <c r="A27" s="14" t="s">
        <v>19</v>
      </c>
      <c r="B27" s="57" t="s">
        <v>1</v>
      </c>
      <c r="C27" s="57" t="s">
        <v>1</v>
      </c>
      <c r="D27" s="57"/>
      <c r="E27" s="57">
        <f>E15+E25</f>
        <v>25576</v>
      </c>
      <c r="F27" s="57">
        <f>F15+F25</f>
        <v>64519</v>
      </c>
      <c r="G27" s="57">
        <f>G15+G25</f>
        <v>14668</v>
      </c>
      <c r="H27" s="57">
        <f>H15+H25</f>
        <v>19765</v>
      </c>
      <c r="I27" s="57">
        <f>I15+I25</f>
        <v>39772</v>
      </c>
      <c r="J27" s="57"/>
      <c r="K27" s="57"/>
      <c r="L27" s="58"/>
    </row>
    <row r="28" spans="1:12" ht="16.5" customHeight="1">
      <c r="A28" s="43" t="s">
        <v>20</v>
      </c>
      <c r="B28" s="44">
        <v>16985</v>
      </c>
      <c r="C28" s="44">
        <v>19948</v>
      </c>
      <c r="D28" s="44">
        <v>-17041</v>
      </c>
      <c r="E28" s="105">
        <v>9401</v>
      </c>
      <c r="F28" s="105">
        <v>15105</v>
      </c>
      <c r="G28" s="105">
        <v>11970</v>
      </c>
      <c r="H28" s="44">
        <v>14616</v>
      </c>
      <c r="I28" s="44">
        <v>17936</v>
      </c>
      <c r="J28" s="44">
        <v>21738</v>
      </c>
      <c r="K28" s="44">
        <f>'1'!C22</f>
        <v>66157</v>
      </c>
      <c r="L28" s="45">
        <f>'1'!D22</f>
        <v>25834</v>
      </c>
    </row>
    <row r="29" spans="1:12" ht="16.5" hidden="1" customHeight="1" outlineLevel="1">
      <c r="A29" s="14" t="s">
        <v>122</v>
      </c>
      <c r="B29" s="38">
        <v>71680</v>
      </c>
      <c r="C29" s="38">
        <v>71557</v>
      </c>
      <c r="D29" s="38">
        <v>-64589</v>
      </c>
      <c r="E29" s="38"/>
      <c r="F29" s="38"/>
      <c r="G29" s="38"/>
      <c r="H29" s="38"/>
      <c r="I29" s="38"/>
      <c r="J29" s="38"/>
      <c r="K29" s="38"/>
      <c r="L29" s="40"/>
    </row>
    <row r="30" spans="1:12" ht="16.5" customHeight="1" collapsed="1">
      <c r="A30" s="14" t="s">
        <v>21</v>
      </c>
      <c r="B30" s="57"/>
      <c r="C30" s="57"/>
      <c r="D30" s="57"/>
      <c r="E30" s="57">
        <f>E27-E28</f>
        <v>16175</v>
      </c>
      <c r="F30" s="57">
        <f>F27-F28</f>
        <v>49414</v>
      </c>
      <c r="G30" s="57">
        <f>G27-G28</f>
        <v>2698</v>
      </c>
      <c r="H30" s="57">
        <f>H27-H28</f>
        <v>5149</v>
      </c>
      <c r="I30" s="57">
        <f>I27-I28</f>
        <v>21836</v>
      </c>
      <c r="J30" s="57">
        <v>52779</v>
      </c>
      <c r="K30" s="57">
        <f>K26-K28</f>
        <v>15131</v>
      </c>
      <c r="L30" s="58">
        <f>L26-L28</f>
        <v>213572</v>
      </c>
    </row>
    <row r="31" spans="1:12" ht="16.5" customHeight="1">
      <c r="A31" s="43" t="s">
        <v>123</v>
      </c>
      <c r="B31" s="62"/>
      <c r="C31" s="62"/>
      <c r="D31" s="62"/>
      <c r="E31" s="106">
        <f>-2488-805</f>
        <v>-3293</v>
      </c>
      <c r="F31" s="106">
        <f>-511-2246-1653</f>
        <v>-4410</v>
      </c>
      <c r="G31" s="62">
        <v>-4399</v>
      </c>
      <c r="H31" s="62">
        <v>-619</v>
      </c>
      <c r="I31" s="62">
        <v>-3602</v>
      </c>
      <c r="J31" s="62"/>
      <c r="K31" s="62"/>
      <c r="L31" s="63"/>
    </row>
    <row r="32" spans="1:12" ht="16.5" customHeight="1">
      <c r="A32" s="14" t="s">
        <v>124</v>
      </c>
      <c r="B32" s="38">
        <v>71680</v>
      </c>
      <c r="C32" s="38">
        <v>71557</v>
      </c>
      <c r="D32" s="38">
        <v>-64589</v>
      </c>
      <c r="E32" s="38">
        <f t="shared" ref="E32:K32" si="1">E30+E31</f>
        <v>12882</v>
      </c>
      <c r="F32" s="38">
        <f t="shared" si="1"/>
        <v>45004</v>
      </c>
      <c r="G32" s="38">
        <f t="shared" si="1"/>
        <v>-1701</v>
      </c>
      <c r="H32" s="38">
        <f t="shared" si="1"/>
        <v>4530</v>
      </c>
      <c r="I32" s="38">
        <f t="shared" si="1"/>
        <v>18234</v>
      </c>
      <c r="J32" s="38">
        <f t="shared" si="1"/>
        <v>52779</v>
      </c>
      <c r="K32" s="38">
        <f t="shared" si="1"/>
        <v>15131</v>
      </c>
      <c r="L32" s="40">
        <f>L30+L31</f>
        <v>213572</v>
      </c>
    </row>
    <row r="33" spans="1:12" ht="16.5" customHeight="1">
      <c r="A33" s="43" t="s">
        <v>125</v>
      </c>
      <c r="B33" s="44">
        <v>1555</v>
      </c>
      <c r="C33" s="44">
        <v>96</v>
      </c>
      <c r="D33" s="44">
        <v>-1429</v>
      </c>
      <c r="E33" s="44">
        <v>-638</v>
      </c>
      <c r="F33" s="44">
        <v>-260</v>
      </c>
      <c r="G33" s="44">
        <v>753</v>
      </c>
      <c r="H33" s="44">
        <v>3335</v>
      </c>
      <c r="I33" s="44">
        <v>1946</v>
      </c>
      <c r="J33" s="44">
        <v>3339</v>
      </c>
      <c r="K33" s="44">
        <v>1795</v>
      </c>
      <c r="L33" s="45">
        <v>1795</v>
      </c>
    </row>
    <row r="34" spans="1:12" ht="16.5" customHeight="1" thickBot="1">
      <c r="A34" s="53" t="s">
        <v>126</v>
      </c>
      <c r="B34" s="71">
        <v>70125</v>
      </c>
      <c r="C34" s="71">
        <v>71461</v>
      </c>
      <c r="D34" s="71">
        <v>-63160</v>
      </c>
      <c r="E34" s="71">
        <f t="shared" ref="E34:K34" si="2">E32-E33</f>
        <v>13520</v>
      </c>
      <c r="F34" s="71">
        <f t="shared" si="2"/>
        <v>45264</v>
      </c>
      <c r="G34" s="71">
        <f t="shared" si="2"/>
        <v>-2454</v>
      </c>
      <c r="H34" s="71">
        <f t="shared" si="2"/>
        <v>1195</v>
      </c>
      <c r="I34" s="71">
        <f t="shared" si="2"/>
        <v>16288</v>
      </c>
      <c r="J34" s="71">
        <f t="shared" si="2"/>
        <v>49440</v>
      </c>
      <c r="K34" s="71">
        <f t="shared" si="2"/>
        <v>13336</v>
      </c>
      <c r="L34" s="91">
        <f>L32-L33</f>
        <v>211777</v>
      </c>
    </row>
    <row r="35" spans="1:12" ht="16.5" customHeight="1">
      <c r="A35" s="73" t="s">
        <v>39</v>
      </c>
      <c r="B35" s="4"/>
      <c r="C35" s="4"/>
      <c r="D35" s="6"/>
      <c r="G35" s="72" t="s">
        <v>1</v>
      </c>
    </row>
    <row r="36" spans="1:12" s="4" customFormat="1" ht="16.5" customHeight="1">
      <c r="A36" s="73" t="s">
        <v>40</v>
      </c>
      <c r="F36" s="6"/>
      <c r="L36" s="6"/>
    </row>
    <row r="37" spans="1:12" s="4" customFormat="1" ht="16.5" customHeight="1">
      <c r="A37" s="73" t="s">
        <v>41</v>
      </c>
      <c r="F37" s="6"/>
      <c r="L37" s="6"/>
    </row>
    <row r="38" spans="1:12" s="4" customFormat="1" ht="16.5" customHeight="1">
      <c r="A38" s="83"/>
      <c r="F38" s="6"/>
      <c r="L38" s="6"/>
    </row>
    <row r="39" spans="1:12" s="4" customFormat="1" ht="16.5" customHeight="1">
      <c r="A39" s="83"/>
      <c r="F39" s="6"/>
      <c r="L39" s="6"/>
    </row>
    <row r="40" spans="1:12" s="4" customFormat="1" ht="16.5" customHeight="1">
      <c r="A40" s="83"/>
      <c r="F40" s="6"/>
      <c r="L40" s="6"/>
    </row>
    <row r="41" spans="1:12" s="4" customFormat="1" ht="16.5" customHeight="1">
      <c r="A41" s="83"/>
      <c r="F41" s="6"/>
      <c r="L41" s="6"/>
    </row>
    <row r="42" spans="1:12" ht="16.5" customHeight="1">
      <c r="A42" s="86"/>
      <c r="C42" s="2"/>
      <c r="D42" s="1"/>
    </row>
    <row r="43" spans="1:12" ht="16.5" customHeight="1">
      <c r="C43" s="2"/>
      <c r="D43" s="1"/>
    </row>
  </sheetData>
  <phoneticPr fontId="4"/>
  <pageMargins left="0.62992125984251968" right="0.19685039370078741" top="0.51181102362204722" bottom="0.94488188976377963" header="0.31496062992125984" footer="0.51181102362204722"/>
  <pageSetup paperSize="9" scale="80" orientation="landscape" r:id="rId1"/>
  <headerFooter alignWithMargins="0">
    <oddFooter>&amp;L
&amp;A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1"/>
  <sheetViews>
    <sheetView view="pageBreakPreview" zoomScaleNormal="85" zoomScaleSheetLayoutView="100" workbookViewId="0">
      <pane xSplit="1" ySplit="3" topLeftCell="B4" activePane="bottomRight" state="frozen"/>
      <selection pane="topRight" activeCell="B1" sqref="B1"/>
      <selection pane="bottomLeft" activeCell="A4" sqref="A4"/>
      <selection pane="bottomRight" activeCell="A26" sqref="A26"/>
    </sheetView>
  </sheetViews>
  <sheetFormatPr defaultColWidth="13" defaultRowHeight="16.5" customHeight="1" outlineLevelRow="1"/>
  <cols>
    <col min="1" max="1" width="41.58203125" style="84" customWidth="1"/>
    <col min="2" max="3" width="8.33203125" style="2" bestFit="1" customWidth="1"/>
    <col min="4" max="5" width="8.33203125" style="1" bestFit="1" customWidth="1"/>
    <col min="6" max="7" width="8.33203125" style="2" bestFit="1" customWidth="1"/>
    <col min="8" max="11" width="10" style="2" bestFit="1" customWidth="1"/>
    <col min="12" max="12" width="10.08203125" style="2" bestFit="1" customWidth="1"/>
    <col min="13" max="13" width="10.08203125" style="1" bestFit="1" customWidth="1"/>
    <col min="14" max="16384" width="13" style="2"/>
  </cols>
  <sheetData>
    <row r="1" spans="1:13" ht="16.5" customHeight="1">
      <c r="A1" s="50" t="s">
        <v>108</v>
      </c>
    </row>
    <row r="2" spans="1:13" ht="27" customHeight="1">
      <c r="A2" s="206" t="s">
        <v>79</v>
      </c>
      <c r="D2" s="2"/>
      <c r="E2" s="2"/>
    </row>
    <row r="3" spans="1:13" ht="16.5" customHeight="1" thickBot="1">
      <c r="A3" s="66" t="s">
        <v>80</v>
      </c>
      <c r="B3" s="67">
        <v>2016</v>
      </c>
      <c r="C3" s="67">
        <v>2017</v>
      </c>
      <c r="D3" s="67">
        <v>2018</v>
      </c>
      <c r="E3" s="67">
        <v>2019</v>
      </c>
      <c r="F3" s="67">
        <v>2020</v>
      </c>
      <c r="G3" s="67">
        <v>2021</v>
      </c>
      <c r="H3" s="147" t="s">
        <v>127</v>
      </c>
      <c r="I3" s="139" t="s">
        <v>128</v>
      </c>
      <c r="J3" s="139" t="s">
        <v>129</v>
      </c>
      <c r="K3" s="139" t="s">
        <v>130</v>
      </c>
      <c r="L3" s="139" t="s">
        <v>48</v>
      </c>
      <c r="M3" s="116" t="s">
        <v>131</v>
      </c>
    </row>
    <row r="4" spans="1:13" ht="16.5" customHeight="1">
      <c r="A4" s="14" t="s">
        <v>5</v>
      </c>
      <c r="B4" s="38">
        <f>'1'!B4</f>
        <v>1152255</v>
      </c>
      <c r="C4" s="38">
        <f>'1'!C4</f>
        <v>1178257</v>
      </c>
      <c r="D4" s="38">
        <v>1271747</v>
      </c>
      <c r="E4" s="38">
        <v>1381806</v>
      </c>
      <c r="F4" s="38">
        <v>1363037</v>
      </c>
      <c r="G4" s="38">
        <v>1479008</v>
      </c>
      <c r="H4" s="46">
        <v>1479008</v>
      </c>
      <c r="I4" s="46">
        <v>1902124</v>
      </c>
      <c r="J4" s="46">
        <v>2180817</v>
      </c>
      <c r="K4" s="46">
        <v>2103876</v>
      </c>
      <c r="L4" s="46">
        <v>2204806</v>
      </c>
      <c r="M4" s="47">
        <f>'1'!M4</f>
        <v>2504820</v>
      </c>
    </row>
    <row r="5" spans="1:13" ht="16.5" customHeight="1">
      <c r="A5" s="17" t="s">
        <v>7</v>
      </c>
      <c r="B5" s="35">
        <f>'1'!B6</f>
        <v>831123</v>
      </c>
      <c r="C5" s="35">
        <f>'1'!C6</f>
        <v>855948</v>
      </c>
      <c r="D5" s="35">
        <v>928525</v>
      </c>
      <c r="E5" s="35">
        <v>985321</v>
      </c>
      <c r="F5" s="35">
        <v>959714</v>
      </c>
      <c r="G5" s="35">
        <v>1044690</v>
      </c>
      <c r="H5" s="39">
        <v>1052410</v>
      </c>
      <c r="I5" s="39">
        <v>1338276</v>
      </c>
      <c r="J5" s="39">
        <v>1596295</v>
      </c>
      <c r="K5" s="39">
        <v>1500858</v>
      </c>
      <c r="L5" s="39">
        <v>1516764</v>
      </c>
      <c r="M5" s="48">
        <f>'1'!M6</f>
        <v>1721416</v>
      </c>
    </row>
    <row r="6" spans="1:13" ht="16.5" customHeight="1">
      <c r="A6" s="14" t="s">
        <v>110</v>
      </c>
      <c r="B6" s="38">
        <f>B4-B5</f>
        <v>321132</v>
      </c>
      <c r="C6" s="38">
        <f>C4-C5</f>
        <v>322309</v>
      </c>
      <c r="D6" s="38">
        <v>343222</v>
      </c>
      <c r="E6" s="38">
        <v>396485</v>
      </c>
      <c r="F6" s="38">
        <v>403323</v>
      </c>
      <c r="G6" s="38">
        <v>434318</v>
      </c>
      <c r="H6" s="46">
        <v>426598</v>
      </c>
      <c r="I6" s="46">
        <v>563848</v>
      </c>
      <c r="J6" s="46">
        <v>584522</v>
      </c>
      <c r="K6" s="46">
        <v>603018</v>
      </c>
      <c r="L6" s="46">
        <v>688042</v>
      </c>
      <c r="M6" s="47">
        <v>783404</v>
      </c>
    </row>
    <row r="7" spans="1:13" ht="16.5" customHeight="1">
      <c r="A7" s="17" t="s">
        <v>8</v>
      </c>
      <c r="B7" s="18">
        <f>227718-533</f>
        <v>227185</v>
      </c>
      <c r="C7" s="18">
        <f>239446</f>
        <v>239446</v>
      </c>
      <c r="D7" s="18">
        <v>257630</v>
      </c>
      <c r="E7" s="18">
        <v>287561</v>
      </c>
      <c r="F7" s="18">
        <v>289771</v>
      </c>
      <c r="G7" s="18">
        <v>317302</v>
      </c>
      <c r="H7" s="20">
        <v>328217</v>
      </c>
      <c r="I7" s="20">
        <v>410568</v>
      </c>
      <c r="J7" s="20">
        <v>434803</v>
      </c>
      <c r="K7" s="20">
        <v>452520</v>
      </c>
      <c r="L7" s="20">
        <v>494029</v>
      </c>
      <c r="M7" s="122">
        <f>'1'!M7</f>
        <v>544033</v>
      </c>
    </row>
    <row r="8" spans="1:13" ht="16.5" customHeight="1">
      <c r="A8" s="14" t="s">
        <v>52</v>
      </c>
      <c r="B8" s="74">
        <v>533</v>
      </c>
      <c r="C8" s="74">
        <v>16811</v>
      </c>
      <c r="D8" s="74">
        <v>1282</v>
      </c>
      <c r="E8" s="74">
        <v>5112</v>
      </c>
      <c r="F8" s="74">
        <v>18592</v>
      </c>
      <c r="G8" s="74">
        <v>7914</v>
      </c>
      <c r="H8" s="64"/>
      <c r="I8" s="64"/>
      <c r="J8" s="64"/>
      <c r="K8" s="64"/>
      <c r="L8" s="64"/>
      <c r="M8" s="177"/>
    </row>
    <row r="9" spans="1:13" ht="16.5" customHeight="1">
      <c r="A9" s="19" t="s">
        <v>53</v>
      </c>
      <c r="B9" s="75"/>
      <c r="C9" s="75">
        <v>2600</v>
      </c>
      <c r="D9" s="75"/>
      <c r="E9" s="75"/>
      <c r="F9" s="75"/>
      <c r="G9" s="75"/>
      <c r="H9" s="41" t="s">
        <v>132</v>
      </c>
      <c r="I9" s="41" t="s">
        <v>132</v>
      </c>
      <c r="J9" s="41"/>
      <c r="K9" s="41"/>
      <c r="L9" s="41"/>
      <c r="M9" s="176"/>
    </row>
    <row r="10" spans="1:13" ht="16.5" hidden="1" customHeight="1">
      <c r="A10" s="14" t="s">
        <v>111</v>
      </c>
      <c r="B10" s="38"/>
      <c r="C10" s="38"/>
      <c r="D10" s="38"/>
      <c r="E10" s="38"/>
      <c r="F10" s="38"/>
      <c r="G10" s="38"/>
      <c r="H10" s="46"/>
      <c r="I10" s="46"/>
      <c r="J10" s="46"/>
      <c r="K10" s="46"/>
      <c r="L10" s="46"/>
      <c r="M10" s="47"/>
    </row>
    <row r="11" spans="1:13" ht="16.5" hidden="1" customHeight="1">
      <c r="A11" s="17" t="s">
        <v>10</v>
      </c>
      <c r="B11" s="39"/>
      <c r="C11" s="39"/>
      <c r="D11" s="39"/>
      <c r="E11" s="39"/>
      <c r="F11" s="39"/>
      <c r="G11" s="39"/>
      <c r="H11" s="39"/>
      <c r="I11" s="39"/>
      <c r="J11" s="39"/>
      <c r="K11" s="39"/>
      <c r="L11" s="39"/>
      <c r="M11" s="48"/>
    </row>
    <row r="12" spans="1:13" ht="16.5" hidden="1" customHeight="1">
      <c r="A12" s="14" t="s">
        <v>11</v>
      </c>
      <c r="B12" s="9"/>
      <c r="C12" s="9"/>
      <c r="D12" s="9"/>
      <c r="E12" s="9"/>
      <c r="F12" s="9"/>
      <c r="G12" s="9"/>
      <c r="H12" s="9"/>
      <c r="I12" s="9"/>
      <c r="J12" s="9"/>
      <c r="K12" s="9"/>
      <c r="L12" s="9"/>
      <c r="M12" s="92"/>
    </row>
    <row r="13" spans="1:13" ht="16.5" hidden="1" customHeight="1">
      <c r="A13" s="19" t="s">
        <v>12</v>
      </c>
      <c r="B13" s="39"/>
      <c r="C13" s="39"/>
      <c r="D13" s="39"/>
      <c r="E13" s="39"/>
      <c r="F13" s="39"/>
      <c r="G13" s="39"/>
      <c r="H13" s="39"/>
      <c r="I13" s="39"/>
      <c r="J13" s="39"/>
      <c r="K13" s="39"/>
      <c r="L13" s="39"/>
      <c r="M13" s="48"/>
    </row>
    <row r="14" spans="1:13" ht="16.5" customHeight="1">
      <c r="A14" s="80" t="s">
        <v>54</v>
      </c>
      <c r="B14" s="46"/>
      <c r="C14" s="46">
        <f>'1'!C14</f>
        <v>-145208</v>
      </c>
      <c r="D14" s="46">
        <v>-5277</v>
      </c>
      <c r="E14" s="46">
        <v>-4011</v>
      </c>
      <c r="F14" s="46">
        <v>-2910</v>
      </c>
      <c r="G14" s="46">
        <v>-2433</v>
      </c>
      <c r="H14" s="46">
        <v>-2433</v>
      </c>
      <c r="I14" s="46"/>
      <c r="J14" s="46"/>
      <c r="K14" s="46"/>
      <c r="L14" s="46"/>
      <c r="M14" s="47"/>
    </row>
    <row r="15" spans="1:13" ht="16.5" hidden="1" customHeight="1">
      <c r="A15" s="135" t="s">
        <v>13</v>
      </c>
      <c r="B15" s="138"/>
      <c r="C15" s="138"/>
      <c r="D15" s="138"/>
      <c r="E15" s="138"/>
      <c r="F15" s="138"/>
      <c r="G15" s="138"/>
      <c r="H15" s="138" t="s">
        <v>133</v>
      </c>
      <c r="I15" s="138" t="s">
        <v>133</v>
      </c>
      <c r="J15" s="138"/>
      <c r="K15" s="138"/>
      <c r="L15" s="138"/>
      <c r="M15" s="186"/>
    </row>
    <row r="16" spans="1:13" ht="16.5" hidden="1" customHeight="1">
      <c r="A16" s="80" t="s">
        <v>55</v>
      </c>
      <c r="B16" s="46"/>
      <c r="C16" s="46"/>
      <c r="D16" s="46"/>
      <c r="E16" s="46"/>
      <c r="F16" s="46"/>
      <c r="G16" s="46"/>
      <c r="H16" s="46" t="s">
        <v>133</v>
      </c>
      <c r="I16" s="46" t="s">
        <v>133</v>
      </c>
      <c r="J16" s="46"/>
      <c r="K16" s="46"/>
      <c r="L16" s="46"/>
      <c r="M16" s="47"/>
    </row>
    <row r="17" spans="1:13" ht="16.5" hidden="1" customHeight="1">
      <c r="A17" s="136" t="s">
        <v>15</v>
      </c>
      <c r="B17" s="106"/>
      <c r="C17" s="106"/>
      <c r="D17" s="106"/>
      <c r="E17" s="106"/>
      <c r="F17" s="106"/>
      <c r="G17" s="106"/>
      <c r="H17" s="106" t="s">
        <v>133</v>
      </c>
      <c r="I17" s="106" t="s">
        <v>133</v>
      </c>
      <c r="J17" s="106"/>
      <c r="K17" s="106"/>
      <c r="L17" s="106"/>
      <c r="M17" s="175"/>
    </row>
    <row r="18" spans="1:13" ht="16.5" customHeight="1">
      <c r="A18" s="14" t="s">
        <v>56</v>
      </c>
      <c r="B18" s="9"/>
      <c r="C18" s="9"/>
      <c r="D18" s="9">
        <v>-105</v>
      </c>
      <c r="E18" s="9"/>
      <c r="F18" s="9"/>
      <c r="G18" s="9"/>
      <c r="H18" s="9">
        <f>H6-H7-H8-H14-H19</f>
        <v>-11000</v>
      </c>
      <c r="I18" s="9">
        <f>I6-I7-I8-I14-I19</f>
        <v>-13495</v>
      </c>
      <c r="J18" s="9">
        <f>J6-J7-J8-J14-J19</f>
        <v>-19108</v>
      </c>
      <c r="K18" s="9">
        <f>K6-K7-K8-K14-K19</f>
        <v>-22395</v>
      </c>
      <c r="L18" s="9">
        <f>L6-L7-L8-L14-L19</f>
        <v>-30179</v>
      </c>
      <c r="M18" s="92">
        <f>'1'!M18</f>
        <v>-33043</v>
      </c>
    </row>
    <row r="19" spans="1:13" ht="16.5" customHeight="1">
      <c r="A19" s="136" t="s">
        <v>57</v>
      </c>
      <c r="B19" s="107">
        <v>93414</v>
      </c>
      <c r="C19" s="107">
        <v>208660</v>
      </c>
      <c r="D19" s="107">
        <v>89692</v>
      </c>
      <c r="E19" s="107">
        <v>107823</v>
      </c>
      <c r="F19" s="107">
        <v>97870</v>
      </c>
      <c r="G19" s="107">
        <v>111535</v>
      </c>
      <c r="H19" s="159">
        <v>111814</v>
      </c>
      <c r="I19" s="159">
        <v>166775</v>
      </c>
      <c r="J19" s="159">
        <v>168827</v>
      </c>
      <c r="K19" s="159">
        <v>172893</v>
      </c>
      <c r="L19" s="159">
        <v>224192</v>
      </c>
      <c r="M19" s="187">
        <f>'1'!M19</f>
        <v>272415</v>
      </c>
    </row>
    <row r="20" spans="1:13" ht="16.5" customHeight="1">
      <c r="A20" s="14" t="s">
        <v>112</v>
      </c>
      <c r="B20" s="38"/>
      <c r="C20" s="38"/>
      <c r="D20" s="38"/>
      <c r="E20" s="38"/>
      <c r="F20" s="38"/>
      <c r="G20" s="38"/>
      <c r="H20" s="46"/>
      <c r="I20" s="46"/>
      <c r="J20" s="46"/>
      <c r="K20" s="46"/>
      <c r="L20" s="46"/>
      <c r="M20" s="47"/>
    </row>
    <row r="21" spans="1:13" ht="16.5" customHeight="1">
      <c r="A21" s="136" t="s">
        <v>134</v>
      </c>
      <c r="B21" s="105">
        <v>4496</v>
      </c>
      <c r="C21" s="105">
        <f>4152+C24+C25</f>
        <v>4600</v>
      </c>
      <c r="D21" s="105">
        <v>6369</v>
      </c>
      <c r="E21" s="105">
        <f>7746+E24</f>
        <v>8209</v>
      </c>
      <c r="F21" s="105">
        <f>10166+F24</f>
        <v>12045</v>
      </c>
      <c r="G21" s="105">
        <f>9727+G24</f>
        <v>18757</v>
      </c>
      <c r="H21" s="138">
        <v>11424</v>
      </c>
      <c r="I21" s="138">
        <v>11277</v>
      </c>
      <c r="J21" s="138">
        <v>17372</v>
      </c>
      <c r="K21" s="138">
        <v>35902</v>
      </c>
      <c r="L21" s="138">
        <v>27047</v>
      </c>
      <c r="M21" s="186">
        <v>36495</v>
      </c>
    </row>
    <row r="22" spans="1:13" ht="16.5" customHeight="1">
      <c r="A22" s="14" t="s">
        <v>135</v>
      </c>
      <c r="B22" s="38">
        <f>-3116+B24+B25</f>
        <v>-8655</v>
      </c>
      <c r="C22" s="38">
        <v>-3428</v>
      </c>
      <c r="D22" s="38">
        <f>-4461+D24+D25</f>
        <v>-5495</v>
      </c>
      <c r="E22" s="38">
        <f>-4155+E25</f>
        <v>-8567</v>
      </c>
      <c r="F22" s="38">
        <f>-3671+F25</f>
        <v>-7691</v>
      </c>
      <c r="G22" s="38">
        <f>-3526+G25</f>
        <v>-4828</v>
      </c>
      <c r="H22" s="46">
        <v>-7483</v>
      </c>
      <c r="I22" s="46">
        <v>-7853</v>
      </c>
      <c r="J22" s="46">
        <v>-20772</v>
      </c>
      <c r="K22" s="46">
        <v>-30224</v>
      </c>
      <c r="L22" s="46">
        <v>-13365</v>
      </c>
      <c r="M22" s="47">
        <v>-32710</v>
      </c>
    </row>
    <row r="23" spans="1:13" ht="16.5" customHeight="1">
      <c r="A23" s="136" t="s">
        <v>136</v>
      </c>
      <c r="B23" s="105">
        <v>1462</v>
      </c>
      <c r="C23" s="105">
        <v>1396</v>
      </c>
      <c r="D23" s="105">
        <v>2989</v>
      </c>
      <c r="E23" s="105">
        <v>1795</v>
      </c>
      <c r="F23" s="105">
        <v>-2329</v>
      </c>
      <c r="G23" s="105">
        <v>-890</v>
      </c>
      <c r="H23" s="138">
        <v>415</v>
      </c>
      <c r="I23" s="138">
        <v>2291</v>
      </c>
      <c r="J23" s="138">
        <v>1792</v>
      </c>
      <c r="K23" s="138">
        <v>670</v>
      </c>
      <c r="L23" s="138">
        <v>-66</v>
      </c>
      <c r="M23" s="186">
        <v>610</v>
      </c>
    </row>
    <row r="24" spans="1:13" s="201" customFormat="1" ht="16.5" hidden="1" customHeight="1" outlineLevel="1">
      <c r="A24" s="197" t="s">
        <v>137</v>
      </c>
      <c r="B24" s="202">
        <v>-3145</v>
      </c>
      <c r="C24" s="202">
        <v>80</v>
      </c>
      <c r="D24" s="202">
        <v>-248</v>
      </c>
      <c r="E24" s="202">
        <v>463</v>
      </c>
      <c r="F24" s="202">
        <v>1879</v>
      </c>
      <c r="G24" s="202">
        <v>9030</v>
      </c>
      <c r="H24" s="202"/>
      <c r="I24" s="202"/>
      <c r="J24" s="202"/>
      <c r="K24" s="202"/>
      <c r="L24" s="202"/>
      <c r="M24" s="203"/>
    </row>
    <row r="25" spans="1:13" s="201" customFormat="1" ht="16.5" hidden="1" customHeight="1" collapsed="1">
      <c r="A25" s="197" t="s">
        <v>138</v>
      </c>
      <c r="B25" s="198">
        <v>-2394</v>
      </c>
      <c r="C25" s="198">
        <v>368</v>
      </c>
      <c r="D25" s="198">
        <v>-786</v>
      </c>
      <c r="E25" s="198">
        <v>-4412</v>
      </c>
      <c r="F25" s="198">
        <v>-4020</v>
      </c>
      <c r="G25" s="198">
        <v>-1302</v>
      </c>
      <c r="H25" s="199"/>
      <c r="I25" s="199"/>
      <c r="J25" s="199"/>
      <c r="K25" s="199"/>
      <c r="L25" s="199"/>
      <c r="M25" s="200"/>
    </row>
    <row r="26" spans="1:13" ht="16.5" customHeight="1">
      <c r="A26" s="14" t="s">
        <v>120</v>
      </c>
      <c r="B26" s="38">
        <v>1122</v>
      </c>
      <c r="C26" s="38">
        <v>489</v>
      </c>
      <c r="D26" s="38">
        <f>-3744</f>
        <v>-3744</v>
      </c>
      <c r="E26" s="38">
        <f>-3085+9379</f>
        <v>6294</v>
      </c>
      <c r="F26" s="38">
        <v>-4019</v>
      </c>
      <c r="G26" s="38">
        <v>-2670</v>
      </c>
      <c r="H26" s="46">
        <v>1093</v>
      </c>
      <c r="I26" s="9"/>
      <c r="J26" s="9"/>
      <c r="K26" s="9"/>
      <c r="L26" s="9"/>
      <c r="M26" s="92"/>
    </row>
    <row r="27" spans="1:13" ht="16.5" customHeight="1">
      <c r="A27" s="136"/>
      <c r="B27" s="105">
        <f t="shared" ref="B27:G27" si="0">SUM(B21:B26)-B24-B25</f>
        <v>-1575</v>
      </c>
      <c r="C27" s="105">
        <f t="shared" si="0"/>
        <v>3057</v>
      </c>
      <c r="D27" s="105">
        <f t="shared" si="0"/>
        <v>119</v>
      </c>
      <c r="E27" s="105">
        <f t="shared" si="0"/>
        <v>7731</v>
      </c>
      <c r="F27" s="105">
        <f t="shared" si="0"/>
        <v>-1994</v>
      </c>
      <c r="G27" s="105">
        <f t="shared" si="0"/>
        <v>10369</v>
      </c>
      <c r="H27" s="138">
        <f t="shared" ref="H27:M27" si="1">SUM(H21:H26)</f>
        <v>5449</v>
      </c>
      <c r="I27" s="138">
        <f t="shared" si="1"/>
        <v>5715</v>
      </c>
      <c r="J27" s="138">
        <f t="shared" si="1"/>
        <v>-1608</v>
      </c>
      <c r="K27" s="138">
        <f t="shared" si="1"/>
        <v>6348</v>
      </c>
      <c r="L27" s="138">
        <f t="shared" si="1"/>
        <v>13616</v>
      </c>
      <c r="M27" s="186">
        <f t="shared" si="1"/>
        <v>4395</v>
      </c>
    </row>
    <row r="28" spans="1:13" ht="16.5" customHeight="1">
      <c r="A28" s="14" t="s">
        <v>58</v>
      </c>
      <c r="B28" s="38">
        <f>B19+B27</f>
        <v>91839</v>
      </c>
      <c r="C28" s="38">
        <f>C19+C27</f>
        <v>211717</v>
      </c>
      <c r="D28" s="38">
        <v>89811</v>
      </c>
      <c r="E28" s="38">
        <v>115554</v>
      </c>
      <c r="F28" s="38">
        <v>95876</v>
      </c>
      <c r="G28" s="38">
        <v>121904</v>
      </c>
      <c r="H28" s="46">
        <v>117263</v>
      </c>
      <c r="I28" s="46">
        <v>172490</v>
      </c>
      <c r="J28" s="46">
        <v>167219</v>
      </c>
      <c r="K28" s="46">
        <v>179241</v>
      </c>
      <c r="L28" s="46">
        <v>237808</v>
      </c>
      <c r="M28" s="47">
        <f>'1'!M20</f>
        <v>276810</v>
      </c>
    </row>
    <row r="29" spans="1:13" ht="16.5" customHeight="1">
      <c r="A29" s="136" t="s">
        <v>139</v>
      </c>
      <c r="B29" s="107"/>
      <c r="C29" s="107"/>
      <c r="D29" s="107"/>
      <c r="E29" s="107"/>
      <c r="F29" s="107"/>
      <c r="G29" s="107"/>
      <c r="H29" s="159" t="s">
        <v>133</v>
      </c>
      <c r="I29" s="159" t="s">
        <v>133</v>
      </c>
      <c r="J29" s="159"/>
      <c r="K29" s="159"/>
      <c r="L29" s="159"/>
      <c r="M29" s="187"/>
    </row>
    <row r="30" spans="1:13" ht="16.5" customHeight="1">
      <c r="A30" s="14" t="s">
        <v>20</v>
      </c>
      <c r="B30" s="38">
        <f>'1'!B22</f>
        <v>25216</v>
      </c>
      <c r="C30" s="38">
        <f>'1'!C22</f>
        <v>66157</v>
      </c>
      <c r="D30" s="38">
        <v>25834</v>
      </c>
      <c r="E30" s="38">
        <v>33004</v>
      </c>
      <c r="F30" s="38">
        <v>38719</v>
      </c>
      <c r="G30" s="38">
        <v>42699</v>
      </c>
      <c r="H30" s="46">
        <v>42702</v>
      </c>
      <c r="I30" s="46">
        <v>40675</v>
      </c>
      <c r="J30" s="46">
        <v>52918</v>
      </c>
      <c r="K30" s="46">
        <v>53106</v>
      </c>
      <c r="L30" s="46">
        <v>67419</v>
      </c>
      <c r="M30" s="47">
        <f>'1'!M22</f>
        <v>77642</v>
      </c>
    </row>
    <row r="31" spans="1:13" s="140" customFormat="1" ht="16.5" hidden="1" customHeight="1" outlineLevel="1">
      <c r="A31" s="136" t="s">
        <v>122</v>
      </c>
      <c r="B31" s="105"/>
      <c r="C31" s="105"/>
      <c r="D31" s="105"/>
      <c r="E31" s="105"/>
      <c r="F31" s="105"/>
      <c r="G31" s="105"/>
      <c r="H31" s="138"/>
      <c r="I31" s="138"/>
      <c r="J31" s="138"/>
      <c r="K31" s="138"/>
      <c r="L31" s="138"/>
      <c r="M31" s="186"/>
    </row>
    <row r="32" spans="1:13" ht="16.5" customHeight="1" collapsed="1">
      <c r="A32" s="136" t="s">
        <v>60</v>
      </c>
      <c r="B32" s="107">
        <f>B28-B30</f>
        <v>66623</v>
      </c>
      <c r="C32" s="107">
        <f>C28-C30</f>
        <v>145560</v>
      </c>
      <c r="D32" s="107">
        <v>63977</v>
      </c>
      <c r="E32" s="107">
        <v>82550</v>
      </c>
      <c r="F32" s="107">
        <v>57157</v>
      </c>
      <c r="G32" s="107">
        <v>79205</v>
      </c>
      <c r="H32" s="159">
        <v>74561</v>
      </c>
      <c r="I32" s="159">
        <v>131815</v>
      </c>
      <c r="J32" s="159">
        <v>114301</v>
      </c>
      <c r="K32" s="159">
        <v>126135</v>
      </c>
      <c r="L32" s="159">
        <v>170389</v>
      </c>
      <c r="M32" s="187">
        <f>'1'!M23</f>
        <v>199167</v>
      </c>
    </row>
    <row r="33" spans="1:13" ht="16.5" customHeight="1">
      <c r="A33" s="14" t="s">
        <v>61</v>
      </c>
      <c r="B33" s="9"/>
      <c r="C33" s="9"/>
      <c r="D33" s="9"/>
      <c r="E33" s="9"/>
      <c r="F33" s="9"/>
      <c r="G33" s="9"/>
      <c r="H33" s="9" t="s">
        <v>133</v>
      </c>
      <c r="I33" s="9" t="s">
        <v>133</v>
      </c>
      <c r="J33" s="9"/>
      <c r="K33" s="9"/>
      <c r="L33" s="9"/>
      <c r="M33" s="92"/>
    </row>
    <row r="34" spans="1:13" ht="16.5" customHeight="1">
      <c r="A34" s="136" t="s">
        <v>140</v>
      </c>
      <c r="B34" s="105">
        <f>B32+B33</f>
        <v>66623</v>
      </c>
      <c r="C34" s="105">
        <f>C32+C33</f>
        <v>145560</v>
      </c>
      <c r="D34" s="105">
        <v>63977</v>
      </c>
      <c r="E34" s="105">
        <v>82550</v>
      </c>
      <c r="F34" s="105">
        <v>57157</v>
      </c>
      <c r="G34" s="105">
        <v>79205</v>
      </c>
      <c r="H34" s="138">
        <v>74561</v>
      </c>
      <c r="I34" s="138">
        <v>131815</v>
      </c>
      <c r="J34" s="138">
        <v>114301</v>
      </c>
      <c r="K34" s="138">
        <v>126135</v>
      </c>
      <c r="L34" s="138">
        <v>170389</v>
      </c>
      <c r="M34" s="186">
        <v>199167</v>
      </c>
    </row>
    <row r="35" spans="1:13" ht="16.5" customHeight="1">
      <c r="A35" s="14" t="s">
        <v>141</v>
      </c>
      <c r="B35" s="38">
        <v>1795</v>
      </c>
      <c r="C35" s="38">
        <v>461</v>
      </c>
      <c r="D35" s="38">
        <v>514</v>
      </c>
      <c r="E35" s="38">
        <v>345</v>
      </c>
      <c r="F35" s="38">
        <v>-623</v>
      </c>
      <c r="G35" s="38">
        <v>-135</v>
      </c>
      <c r="H35" s="46">
        <v>-120</v>
      </c>
      <c r="I35" s="46">
        <v>517</v>
      </c>
      <c r="J35" s="46">
        <v>114</v>
      </c>
      <c r="K35" s="46">
        <v>1448</v>
      </c>
      <c r="L35" s="46">
        <v>3228</v>
      </c>
      <c r="M35" s="47">
        <v>3504</v>
      </c>
    </row>
    <row r="36" spans="1:13" ht="16.5" customHeight="1" thickBot="1">
      <c r="A36" s="142" t="s">
        <v>142</v>
      </c>
      <c r="B36" s="145">
        <f>B34-B35</f>
        <v>64828</v>
      </c>
      <c r="C36" s="145">
        <f>C34-C35</f>
        <v>145099</v>
      </c>
      <c r="D36" s="145">
        <v>63463</v>
      </c>
      <c r="E36" s="145">
        <v>82205</v>
      </c>
      <c r="F36" s="145">
        <v>57780</v>
      </c>
      <c r="G36" s="145">
        <v>79340</v>
      </c>
      <c r="H36" s="143">
        <v>74681</v>
      </c>
      <c r="I36" s="143">
        <v>131298</v>
      </c>
      <c r="J36" s="143">
        <v>114187</v>
      </c>
      <c r="K36" s="143">
        <v>124687</v>
      </c>
      <c r="L36" s="143">
        <v>167161</v>
      </c>
      <c r="M36" s="188">
        <f>'1'!M25</f>
        <v>195663</v>
      </c>
    </row>
    <row r="37" spans="1:13" ht="16.5" customHeight="1">
      <c r="A37" s="73" t="s">
        <v>39</v>
      </c>
      <c r="D37" s="2"/>
      <c r="E37" s="2"/>
      <c r="F37" s="1"/>
      <c r="G37" s="1"/>
    </row>
    <row r="38" spans="1:13" s="4" customFormat="1" ht="29.5" customHeight="1">
      <c r="A38" s="266" t="s">
        <v>143</v>
      </c>
      <c r="B38" s="266"/>
      <c r="C38" s="266"/>
      <c r="D38" s="266"/>
      <c r="E38" s="266"/>
      <c r="F38" s="266"/>
      <c r="G38" s="266"/>
      <c r="H38" s="266"/>
      <c r="I38" s="266"/>
      <c r="J38" s="266"/>
      <c r="K38" s="266"/>
      <c r="L38" s="266"/>
      <c r="M38" s="266"/>
    </row>
    <row r="39" spans="1:13" s="4" customFormat="1" ht="29.5" customHeight="1">
      <c r="A39" s="266" t="s">
        <v>144</v>
      </c>
      <c r="B39" s="266"/>
      <c r="C39" s="266"/>
      <c r="D39" s="266"/>
      <c r="E39" s="266"/>
      <c r="F39" s="266"/>
      <c r="G39" s="266"/>
      <c r="H39" s="266"/>
      <c r="I39" s="266"/>
      <c r="J39" s="266"/>
      <c r="K39" s="266"/>
      <c r="L39" s="266"/>
      <c r="M39" s="266"/>
    </row>
    <row r="40" spans="1:13" s="4" customFormat="1" ht="16.5" customHeight="1">
      <c r="A40" s="83"/>
      <c r="D40" s="6"/>
      <c r="E40" s="6"/>
      <c r="M40" s="6"/>
    </row>
    <row r="41" spans="1:13" ht="16.5" customHeight="1">
      <c r="A41" s="86"/>
    </row>
  </sheetData>
  <mergeCells count="2">
    <mergeCell ref="A38:M38"/>
    <mergeCell ref="A39:M39"/>
  </mergeCells>
  <phoneticPr fontId="4"/>
  <pageMargins left="0.62992125984251968" right="0.19685039370078741" top="0.51181102362204722" bottom="0.94488188976377963" header="0.31496062992125984" footer="0.51181102362204722"/>
  <pageSetup paperSize="9" scale="73" orientation="landscape" r:id="rId1"/>
  <headerFooter alignWithMargins="0">
    <oddFooter>&amp;L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5"/>
  <sheetViews>
    <sheetView view="pageBreakPreview" zoomScaleNormal="70" zoomScaleSheetLayoutView="100" workbookViewId="0">
      <pane xSplit="1" ySplit="3" topLeftCell="B4" activePane="bottomRight" state="frozen"/>
      <selection pane="topRight" activeCell="B1" sqref="B1"/>
      <selection pane="bottomLeft" activeCell="A4" sqref="A4"/>
      <selection pane="bottomRight" activeCell="A47" sqref="A47"/>
    </sheetView>
  </sheetViews>
  <sheetFormatPr defaultColWidth="13" defaultRowHeight="16.5" customHeight="1"/>
  <cols>
    <col min="1" max="1" width="37.33203125" style="84" customWidth="1"/>
    <col min="2" max="3" width="8.33203125" style="2" bestFit="1" customWidth="1"/>
    <col min="4" max="5" width="8.33203125" style="1" bestFit="1" customWidth="1"/>
    <col min="6" max="7" width="8.33203125" style="2" bestFit="1" customWidth="1"/>
    <col min="8" max="10" width="10" style="2" bestFit="1" customWidth="1"/>
    <col min="11" max="11" width="10" style="224" bestFit="1" customWidth="1"/>
    <col min="12" max="12" width="10.08203125" style="2" bestFit="1" customWidth="1"/>
    <col min="13" max="13" width="10.08203125" style="1" bestFit="1" customWidth="1"/>
    <col min="14" max="16384" width="13" style="2"/>
  </cols>
  <sheetData>
    <row r="1" spans="1:13" ht="16.5" customHeight="1">
      <c r="A1" s="50" t="s">
        <v>145</v>
      </c>
    </row>
    <row r="2" spans="1:13" ht="27.75" customHeight="1">
      <c r="A2" s="206" t="s">
        <v>79</v>
      </c>
    </row>
    <row r="3" spans="1:13" ht="16.5" customHeight="1" thickBot="1">
      <c r="A3" s="66" t="s">
        <v>80</v>
      </c>
      <c r="B3" s="67">
        <v>2016</v>
      </c>
      <c r="C3" s="67">
        <v>2017</v>
      </c>
      <c r="D3" s="67">
        <v>2018</v>
      </c>
      <c r="E3" s="67">
        <v>2019</v>
      </c>
      <c r="F3" s="67">
        <v>2020</v>
      </c>
      <c r="G3" s="67">
        <v>2021</v>
      </c>
      <c r="H3" s="67" t="s">
        <v>44</v>
      </c>
      <c r="I3" s="67" t="s">
        <v>45</v>
      </c>
      <c r="J3" s="67" t="s">
        <v>46</v>
      </c>
      <c r="K3" s="243" t="s">
        <v>47</v>
      </c>
      <c r="L3" s="67" t="s">
        <v>146</v>
      </c>
      <c r="M3" s="68" t="s">
        <v>131</v>
      </c>
    </row>
    <row r="4" spans="1:13" ht="16.5" customHeight="1">
      <c r="A4" s="42" t="s">
        <v>147</v>
      </c>
      <c r="B4" s="38"/>
      <c r="C4" s="38"/>
      <c r="D4" s="38"/>
      <c r="E4" s="38"/>
      <c r="F4" s="38"/>
      <c r="G4" s="38"/>
      <c r="H4" s="46"/>
      <c r="I4" s="46"/>
      <c r="J4" s="46"/>
      <c r="K4" s="244"/>
      <c r="L4" s="46"/>
      <c r="M4" s="47"/>
    </row>
    <row r="5" spans="1:13" ht="16.5" customHeight="1">
      <c r="A5" s="42" t="s">
        <v>148</v>
      </c>
      <c r="B5" s="38"/>
      <c r="C5" s="38"/>
      <c r="D5" s="38"/>
      <c r="E5" s="38"/>
      <c r="F5" s="38"/>
      <c r="G5" s="38"/>
      <c r="H5" s="46"/>
      <c r="I5" s="46"/>
      <c r="J5" s="46"/>
      <c r="K5" s="244"/>
      <c r="L5" s="46"/>
      <c r="M5" s="47"/>
    </row>
    <row r="6" spans="1:13" ht="16.5" customHeight="1">
      <c r="A6" s="17" t="s">
        <v>149</v>
      </c>
      <c r="B6" s="35">
        <v>285468</v>
      </c>
      <c r="C6" s="35">
        <v>330388</v>
      </c>
      <c r="D6" s="35">
        <v>279624</v>
      </c>
      <c r="E6" s="35">
        <v>289175</v>
      </c>
      <c r="F6" s="35">
        <v>332717</v>
      </c>
      <c r="G6" s="35">
        <v>380387</v>
      </c>
      <c r="H6" s="39">
        <v>380387</v>
      </c>
      <c r="I6" s="39">
        <v>439339</v>
      </c>
      <c r="J6" s="39">
        <v>506185</v>
      </c>
      <c r="K6" s="245">
        <v>649998</v>
      </c>
      <c r="L6" s="39">
        <v>697307</v>
      </c>
      <c r="M6" s="48">
        <v>842775</v>
      </c>
    </row>
    <row r="7" spans="1:13" ht="16.5" hidden="1" customHeight="1">
      <c r="A7" s="169" t="s">
        <v>150</v>
      </c>
      <c r="B7" s="170">
        <v>21964</v>
      </c>
      <c r="C7" s="170">
        <v>56131</v>
      </c>
      <c r="D7" s="170">
        <v>43613</v>
      </c>
      <c r="E7" s="170">
        <v>40505</v>
      </c>
      <c r="F7" s="170">
        <v>32494</v>
      </c>
      <c r="G7" s="170">
        <v>65886</v>
      </c>
      <c r="H7" s="172"/>
      <c r="I7" s="172"/>
      <c r="J7" s="172"/>
      <c r="K7" s="246"/>
      <c r="L7" s="172"/>
      <c r="M7" s="189"/>
    </row>
    <row r="8" spans="1:13" ht="16.5" hidden="1" customHeight="1">
      <c r="A8" s="169" t="s">
        <v>151</v>
      </c>
      <c r="B8" s="173"/>
      <c r="C8" s="173"/>
      <c r="D8" s="173">
        <v>54</v>
      </c>
      <c r="E8" s="170">
        <v>57</v>
      </c>
      <c r="F8" s="170">
        <v>56</v>
      </c>
      <c r="G8" s="170">
        <v>56</v>
      </c>
      <c r="H8" s="172"/>
      <c r="I8" s="172"/>
      <c r="J8" s="172"/>
      <c r="K8" s="246"/>
      <c r="L8" s="172"/>
      <c r="M8" s="189"/>
    </row>
    <row r="9" spans="1:13" ht="16.5" hidden="1" customHeight="1">
      <c r="A9" s="169" t="s">
        <v>152</v>
      </c>
      <c r="B9" s="170"/>
      <c r="C9" s="170"/>
      <c r="D9" s="170"/>
      <c r="E9" s="170"/>
      <c r="F9" s="170"/>
      <c r="G9" s="170"/>
      <c r="H9" s="172" t="s">
        <v>133</v>
      </c>
      <c r="I9" s="172" t="s">
        <v>133</v>
      </c>
      <c r="J9" s="172"/>
      <c r="K9" s="246"/>
      <c r="L9" s="172"/>
      <c r="M9" s="189"/>
    </row>
    <row r="10" spans="1:13" ht="16.5" hidden="1" customHeight="1">
      <c r="A10" s="169" t="s">
        <v>153</v>
      </c>
      <c r="B10" s="170">
        <v>14465</v>
      </c>
      <c r="C10" s="170">
        <v>40867</v>
      </c>
      <c r="D10" s="170">
        <v>55162</v>
      </c>
      <c r="E10" s="170">
        <v>56690</v>
      </c>
      <c r="F10" s="170">
        <v>58079</v>
      </c>
      <c r="G10" s="170">
        <v>82886</v>
      </c>
      <c r="H10" s="172">
        <v>82886</v>
      </c>
      <c r="I10" s="172">
        <v>33724</v>
      </c>
      <c r="J10" s="172"/>
      <c r="K10" s="246"/>
      <c r="L10" s="172"/>
      <c r="M10" s="189"/>
    </row>
    <row r="11" spans="1:13" ht="16.5" hidden="1" customHeight="1">
      <c r="A11" s="169" t="s">
        <v>154</v>
      </c>
      <c r="B11" s="170">
        <v>213508</v>
      </c>
      <c r="C11" s="170">
        <v>215783</v>
      </c>
      <c r="D11" s="170">
        <v>250568</v>
      </c>
      <c r="E11" s="170">
        <v>252654</v>
      </c>
      <c r="F11" s="170">
        <v>253783</v>
      </c>
      <c r="G11" s="170">
        <v>348010</v>
      </c>
      <c r="H11" s="172">
        <v>348010</v>
      </c>
      <c r="I11" s="172">
        <v>492409</v>
      </c>
      <c r="J11" s="172"/>
      <c r="K11" s="246"/>
      <c r="L11" s="172"/>
      <c r="M11" s="189"/>
    </row>
    <row r="12" spans="1:13" ht="16.5" hidden="1" customHeight="1">
      <c r="A12" s="169" t="s">
        <v>155</v>
      </c>
      <c r="B12" s="170">
        <v>-1755</v>
      </c>
      <c r="C12" s="170">
        <v>-1741</v>
      </c>
      <c r="D12" s="170">
        <v>-1714</v>
      </c>
      <c r="E12" s="170">
        <v>-1190</v>
      </c>
      <c r="F12" s="170">
        <v>-1720</v>
      </c>
      <c r="G12" s="170">
        <v>-1442</v>
      </c>
      <c r="H12" s="172">
        <v>-1525</v>
      </c>
      <c r="I12" s="172">
        <v>-1657</v>
      </c>
      <c r="J12" s="172"/>
      <c r="K12" s="246"/>
      <c r="L12" s="172"/>
      <c r="M12" s="189"/>
    </row>
    <row r="13" spans="1:13" ht="16.5" hidden="1" customHeight="1">
      <c r="A13" s="169" t="s">
        <v>156</v>
      </c>
      <c r="B13" s="170">
        <f>SUM(B10:B12)</f>
        <v>226218</v>
      </c>
      <c r="C13" s="170">
        <f>SUM(C10:C12)</f>
        <v>254909</v>
      </c>
      <c r="D13" s="170">
        <v>304016</v>
      </c>
      <c r="E13" s="170">
        <v>308154</v>
      </c>
      <c r="F13" s="170">
        <v>310142</v>
      </c>
      <c r="G13" s="170">
        <v>429454</v>
      </c>
      <c r="H13" s="172">
        <v>429371</v>
      </c>
      <c r="I13" s="172">
        <v>524476</v>
      </c>
      <c r="J13" s="172"/>
      <c r="K13" s="246"/>
      <c r="L13" s="172"/>
      <c r="M13" s="189"/>
    </row>
    <row r="14" spans="1:13" ht="16.5" customHeight="1">
      <c r="A14" s="14" t="s">
        <v>157</v>
      </c>
      <c r="B14" s="38">
        <v>226218</v>
      </c>
      <c r="C14" s="38">
        <v>254909</v>
      </c>
      <c r="D14" s="38">
        <v>304016</v>
      </c>
      <c r="E14" s="38">
        <v>308154</v>
      </c>
      <c r="F14" s="38">
        <v>310142</v>
      </c>
      <c r="G14" s="38">
        <v>429454</v>
      </c>
      <c r="H14" s="46">
        <v>429371</v>
      </c>
      <c r="I14" s="46">
        <v>524476</v>
      </c>
      <c r="J14" s="46">
        <v>546381</v>
      </c>
      <c r="K14" s="244">
        <v>558298</v>
      </c>
      <c r="L14" s="46">
        <v>583133</v>
      </c>
      <c r="M14" s="47">
        <v>780580</v>
      </c>
    </row>
    <row r="15" spans="1:13" ht="16.5" customHeight="1">
      <c r="A15" s="136" t="s">
        <v>158</v>
      </c>
      <c r="B15" s="105">
        <f t="shared" ref="B15:G15" si="0">B7+B8</f>
        <v>21964</v>
      </c>
      <c r="C15" s="105">
        <f t="shared" si="0"/>
        <v>56131</v>
      </c>
      <c r="D15" s="105">
        <f t="shared" si="0"/>
        <v>43667</v>
      </c>
      <c r="E15" s="105">
        <f t="shared" si="0"/>
        <v>40562</v>
      </c>
      <c r="F15" s="105">
        <f t="shared" si="0"/>
        <v>32550</v>
      </c>
      <c r="G15" s="105">
        <f t="shared" si="0"/>
        <v>65942</v>
      </c>
      <c r="H15" s="138">
        <v>75493</v>
      </c>
      <c r="I15" s="138">
        <v>66944</v>
      </c>
      <c r="J15" s="138">
        <v>52147</v>
      </c>
      <c r="K15" s="247">
        <v>47052</v>
      </c>
      <c r="L15" s="138">
        <v>77304</v>
      </c>
      <c r="M15" s="186">
        <v>159587</v>
      </c>
    </row>
    <row r="16" spans="1:13" ht="16.5" customHeight="1">
      <c r="A16" s="14" t="s">
        <v>159</v>
      </c>
      <c r="B16" s="38">
        <v>157129</v>
      </c>
      <c r="C16" s="38">
        <v>154499</v>
      </c>
      <c r="D16" s="38">
        <v>207532</v>
      </c>
      <c r="E16" s="38">
        <v>226892</v>
      </c>
      <c r="F16" s="38">
        <v>236453</v>
      </c>
      <c r="G16" s="38">
        <v>288854</v>
      </c>
      <c r="H16" s="46">
        <v>288346</v>
      </c>
      <c r="I16" s="46">
        <v>437004</v>
      </c>
      <c r="J16" s="46">
        <v>443001</v>
      </c>
      <c r="K16" s="244">
        <v>406084</v>
      </c>
      <c r="L16" s="46">
        <v>410038</v>
      </c>
      <c r="M16" s="47">
        <v>585448</v>
      </c>
    </row>
    <row r="17" spans="1:13" ht="16.5" customHeight="1">
      <c r="A17" s="136" t="s">
        <v>160</v>
      </c>
      <c r="B17" s="105">
        <v>4660</v>
      </c>
      <c r="C17" s="105">
        <v>6153</v>
      </c>
      <c r="D17" s="105">
        <v>6068</v>
      </c>
      <c r="E17" s="105">
        <v>6775</v>
      </c>
      <c r="F17" s="105">
        <v>9201</v>
      </c>
      <c r="G17" s="105">
        <v>4983</v>
      </c>
      <c r="H17" s="138">
        <v>4983</v>
      </c>
      <c r="I17" s="138">
        <v>4982</v>
      </c>
      <c r="J17" s="138">
        <v>4303</v>
      </c>
      <c r="K17" s="247">
        <v>4828</v>
      </c>
      <c r="L17" s="138">
        <v>5852</v>
      </c>
      <c r="M17" s="186">
        <v>5134</v>
      </c>
    </row>
    <row r="18" spans="1:13" ht="16.5" hidden="1" customHeight="1">
      <c r="A18" s="17" t="s">
        <v>161</v>
      </c>
      <c r="B18" s="41"/>
      <c r="C18" s="132"/>
      <c r="D18" s="132"/>
      <c r="E18" s="132"/>
      <c r="F18" s="132"/>
      <c r="G18" s="132"/>
      <c r="H18" s="132"/>
      <c r="I18" s="132"/>
      <c r="J18" s="132"/>
      <c r="K18" s="230"/>
      <c r="L18" s="132"/>
      <c r="M18" s="179"/>
    </row>
    <row r="19" spans="1:13" ht="16.5" customHeight="1">
      <c r="A19" s="80" t="s">
        <v>162</v>
      </c>
      <c r="B19" s="38">
        <v>45555</v>
      </c>
      <c r="C19" s="38">
        <v>64056</v>
      </c>
      <c r="D19" s="38">
        <v>59029</v>
      </c>
      <c r="E19" s="38">
        <v>50927</v>
      </c>
      <c r="F19" s="38">
        <v>45419</v>
      </c>
      <c r="G19" s="38">
        <v>63765</v>
      </c>
      <c r="H19" s="46">
        <v>52290</v>
      </c>
      <c r="I19" s="46">
        <v>60427</v>
      </c>
      <c r="J19" s="46">
        <v>55294</v>
      </c>
      <c r="K19" s="244">
        <v>61715</v>
      </c>
      <c r="L19" s="46">
        <v>63224</v>
      </c>
      <c r="M19" s="47">
        <v>81707</v>
      </c>
    </row>
    <row r="20" spans="1:13" ht="16.5" customHeight="1">
      <c r="A20" s="136" t="s">
        <v>163</v>
      </c>
      <c r="B20" s="105">
        <f>B6+B7+B13+B16+B17+B19</f>
        <v>740994</v>
      </c>
      <c r="C20" s="105">
        <f>C6+C7+C13+C16+C17+C19</f>
        <v>866136</v>
      </c>
      <c r="D20" s="105">
        <v>899936</v>
      </c>
      <c r="E20" s="105">
        <v>922485</v>
      </c>
      <c r="F20" s="105">
        <v>966482</v>
      </c>
      <c r="G20" s="105">
        <v>1233385</v>
      </c>
      <c r="H20" s="138">
        <v>1230870</v>
      </c>
      <c r="I20" s="138">
        <v>1533172</v>
      </c>
      <c r="J20" s="138">
        <v>1607311</v>
      </c>
      <c r="K20" s="247">
        <v>1727975</v>
      </c>
      <c r="L20" s="138">
        <v>1836858</v>
      </c>
      <c r="M20" s="186">
        <v>2455232</v>
      </c>
    </row>
    <row r="21" spans="1:13" ht="16.5" customHeight="1">
      <c r="A21" s="14"/>
      <c r="B21" s="38"/>
      <c r="C21" s="38"/>
      <c r="D21" s="38"/>
      <c r="E21" s="38"/>
      <c r="F21" s="38"/>
      <c r="G21" s="38"/>
      <c r="H21" s="46"/>
      <c r="I21" s="46"/>
      <c r="J21" s="46"/>
      <c r="K21" s="244"/>
      <c r="L21" s="46"/>
      <c r="M21" s="47"/>
    </row>
    <row r="22" spans="1:13" ht="16.5" customHeight="1">
      <c r="A22" s="42" t="s">
        <v>164</v>
      </c>
      <c r="B22" s="38"/>
      <c r="C22" s="38"/>
      <c r="D22" s="38"/>
      <c r="E22" s="38"/>
      <c r="F22" s="38"/>
      <c r="G22" s="38"/>
      <c r="H22" s="46" t="s">
        <v>133</v>
      </c>
      <c r="I22" s="46" t="s">
        <v>133</v>
      </c>
      <c r="J22" s="46"/>
      <c r="K22" s="244"/>
      <c r="L22" s="46"/>
      <c r="M22" s="47"/>
    </row>
    <row r="23" spans="1:13" ht="16.5" customHeight="1">
      <c r="A23" s="14" t="s">
        <v>165</v>
      </c>
      <c r="B23" s="38">
        <v>35335</v>
      </c>
      <c r="C23" s="38">
        <v>161825</v>
      </c>
      <c r="D23" s="38">
        <v>155240</v>
      </c>
      <c r="E23" s="38">
        <v>155306</v>
      </c>
      <c r="F23" s="38">
        <v>33229</v>
      </c>
      <c r="G23" s="38">
        <v>44287</v>
      </c>
      <c r="H23" s="46"/>
      <c r="I23" s="46" t="s">
        <v>133</v>
      </c>
      <c r="J23" s="46"/>
      <c r="K23" s="244"/>
      <c r="L23" s="46"/>
      <c r="M23" s="47"/>
    </row>
    <row r="24" spans="1:13" ht="16.5" customHeight="1">
      <c r="A24" s="136" t="s">
        <v>166</v>
      </c>
      <c r="B24" s="105"/>
      <c r="C24" s="105"/>
      <c r="D24" s="105"/>
      <c r="E24" s="105"/>
      <c r="F24" s="105"/>
      <c r="G24" s="105"/>
      <c r="H24" s="138">
        <v>14069</v>
      </c>
      <c r="I24" s="138">
        <v>16635</v>
      </c>
      <c r="J24" s="138">
        <v>24706</v>
      </c>
      <c r="K24" s="247">
        <v>36990</v>
      </c>
      <c r="L24" s="138">
        <v>42186</v>
      </c>
      <c r="M24" s="186">
        <v>48664</v>
      </c>
    </row>
    <row r="25" spans="1:13" ht="16.5" customHeight="1">
      <c r="A25" s="14" t="s">
        <v>167</v>
      </c>
      <c r="B25" s="38"/>
      <c r="C25" s="38"/>
      <c r="D25" s="38"/>
      <c r="E25" s="38"/>
      <c r="F25" s="38"/>
      <c r="G25" s="38"/>
      <c r="H25" s="46">
        <v>43961</v>
      </c>
      <c r="I25" s="46">
        <v>123581</v>
      </c>
      <c r="J25" s="46">
        <v>153950</v>
      </c>
      <c r="K25" s="244">
        <v>184425</v>
      </c>
      <c r="L25" s="46">
        <v>183840</v>
      </c>
      <c r="M25" s="47">
        <v>226803</v>
      </c>
    </row>
    <row r="26" spans="1:13" ht="16.5" customHeight="1">
      <c r="A26" s="136" t="s">
        <v>168</v>
      </c>
      <c r="B26" s="105">
        <v>487639</v>
      </c>
      <c r="C26" s="105">
        <v>464667</v>
      </c>
      <c r="D26" s="105">
        <v>545641</v>
      </c>
      <c r="E26" s="105">
        <v>603110</v>
      </c>
      <c r="F26" s="105">
        <v>611150</v>
      </c>
      <c r="G26" s="105">
        <v>784371</v>
      </c>
      <c r="H26" s="138">
        <v>776444</v>
      </c>
      <c r="I26" s="138">
        <v>945042</v>
      </c>
      <c r="J26" s="138">
        <v>930288</v>
      </c>
      <c r="K26" s="247">
        <v>991072</v>
      </c>
      <c r="L26" s="138">
        <v>1030122</v>
      </c>
      <c r="M26" s="186">
        <v>1225762</v>
      </c>
    </row>
    <row r="27" spans="1:13" ht="16.5" hidden="1" customHeight="1">
      <c r="A27" s="169" t="s">
        <v>169</v>
      </c>
      <c r="B27" s="170"/>
      <c r="C27" s="170"/>
      <c r="D27" s="170"/>
      <c r="E27" s="170"/>
      <c r="F27" s="170"/>
      <c r="G27" s="170"/>
      <c r="H27" s="172"/>
      <c r="I27" s="172" t="s">
        <v>133</v>
      </c>
      <c r="J27" s="172"/>
      <c r="K27" s="246"/>
      <c r="L27" s="172"/>
      <c r="M27" s="189"/>
    </row>
    <row r="28" spans="1:13" ht="16.5" hidden="1" customHeight="1">
      <c r="A28" s="169" t="s">
        <v>170</v>
      </c>
      <c r="B28" s="170">
        <v>24422</v>
      </c>
      <c r="C28" s="170">
        <v>23714</v>
      </c>
      <c r="D28" s="170">
        <v>23337</v>
      </c>
      <c r="E28" s="170">
        <v>23146</v>
      </c>
      <c r="F28" s="170">
        <v>22057</v>
      </c>
      <c r="G28" s="170">
        <v>23953</v>
      </c>
      <c r="H28" s="172"/>
      <c r="I28" s="172" t="s">
        <v>133</v>
      </c>
      <c r="J28" s="172"/>
      <c r="K28" s="246"/>
      <c r="L28" s="172"/>
      <c r="M28" s="189"/>
    </row>
    <row r="29" spans="1:13" ht="16.5" hidden="1" customHeight="1">
      <c r="A29" s="169" t="s">
        <v>171</v>
      </c>
      <c r="B29" s="170">
        <v>266721</v>
      </c>
      <c r="C29" s="170">
        <v>299196</v>
      </c>
      <c r="D29" s="170">
        <v>318899</v>
      </c>
      <c r="E29" s="170">
        <v>344888</v>
      </c>
      <c r="F29" s="170">
        <v>347655</v>
      </c>
      <c r="G29" s="170">
        <v>423689</v>
      </c>
      <c r="H29" s="172"/>
      <c r="I29" s="172" t="s">
        <v>133</v>
      </c>
      <c r="J29" s="172"/>
      <c r="K29" s="246"/>
      <c r="L29" s="172"/>
      <c r="M29" s="189"/>
    </row>
    <row r="30" spans="1:13" ht="16.5" hidden="1" customHeight="1">
      <c r="A30" s="169" t="s">
        <v>172</v>
      </c>
      <c r="B30" s="170">
        <v>858126</v>
      </c>
      <c r="C30" s="170">
        <v>762788</v>
      </c>
      <c r="D30" s="170">
        <v>834484</v>
      </c>
      <c r="E30" s="170">
        <v>921639</v>
      </c>
      <c r="F30" s="170">
        <v>972492</v>
      </c>
      <c r="G30" s="170">
        <v>1207552</v>
      </c>
      <c r="H30" s="172"/>
      <c r="I30" s="172" t="s">
        <v>133</v>
      </c>
      <c r="J30" s="172"/>
      <c r="K30" s="246"/>
      <c r="L30" s="172"/>
      <c r="M30" s="189"/>
    </row>
    <row r="31" spans="1:13" ht="16.5" hidden="1" customHeight="1">
      <c r="A31" s="169" t="s">
        <v>173</v>
      </c>
      <c r="B31" s="170">
        <v>86183</v>
      </c>
      <c r="C31" s="170">
        <v>64118</v>
      </c>
      <c r="D31" s="170">
        <v>82015</v>
      </c>
      <c r="E31" s="170">
        <v>71592</v>
      </c>
      <c r="F31" s="170">
        <v>81923</v>
      </c>
      <c r="G31" s="170">
        <v>124558</v>
      </c>
      <c r="H31" s="172"/>
      <c r="I31" s="172" t="s">
        <v>133</v>
      </c>
      <c r="J31" s="172"/>
      <c r="K31" s="246"/>
      <c r="L31" s="172"/>
      <c r="M31" s="189"/>
    </row>
    <row r="32" spans="1:13" ht="16.5" hidden="1" customHeight="1">
      <c r="A32" s="169"/>
      <c r="B32" s="170">
        <f>SUM(B28:B31)</f>
        <v>1235452</v>
      </c>
      <c r="C32" s="170">
        <f>SUM(C28:C31)</f>
        <v>1149816</v>
      </c>
      <c r="D32" s="170">
        <v>1258735</v>
      </c>
      <c r="E32" s="170">
        <v>1361265</v>
      </c>
      <c r="F32" s="170">
        <v>1424127</v>
      </c>
      <c r="G32" s="170">
        <v>1779752</v>
      </c>
      <c r="H32" s="172"/>
      <c r="I32" s="172" t="s">
        <v>133</v>
      </c>
      <c r="J32" s="172"/>
      <c r="K32" s="246"/>
      <c r="L32" s="172"/>
      <c r="M32" s="189"/>
    </row>
    <row r="33" spans="1:13" ht="16.5" hidden="1" customHeight="1">
      <c r="A33" s="169" t="s">
        <v>174</v>
      </c>
      <c r="B33" s="170">
        <v>-747813</v>
      </c>
      <c r="C33" s="170">
        <v>-685149</v>
      </c>
      <c r="D33" s="170">
        <v>-713094</v>
      </c>
      <c r="E33" s="170">
        <v>-758155</v>
      </c>
      <c r="F33" s="170">
        <v>-812977</v>
      </c>
      <c r="G33" s="170">
        <v>-995381</v>
      </c>
      <c r="H33" s="172"/>
      <c r="I33" s="172" t="s">
        <v>133</v>
      </c>
      <c r="J33" s="172"/>
      <c r="K33" s="246"/>
      <c r="L33" s="172"/>
      <c r="M33" s="189"/>
    </row>
    <row r="34" spans="1:13" ht="16.5" hidden="1" customHeight="1">
      <c r="A34" s="169" t="s">
        <v>156</v>
      </c>
      <c r="B34" s="170">
        <f>B32+B33</f>
        <v>487639</v>
      </c>
      <c r="C34" s="170">
        <f>C32+C33</f>
        <v>464667</v>
      </c>
      <c r="D34" s="170">
        <v>545641</v>
      </c>
      <c r="E34" s="170">
        <v>603110</v>
      </c>
      <c r="F34" s="170">
        <v>611150</v>
      </c>
      <c r="G34" s="170">
        <v>784371</v>
      </c>
      <c r="H34" s="172"/>
      <c r="I34" s="172" t="s">
        <v>133</v>
      </c>
      <c r="J34" s="172"/>
      <c r="K34" s="246"/>
      <c r="L34" s="172"/>
      <c r="M34" s="189"/>
    </row>
    <row r="35" spans="1:13" ht="16.5" customHeight="1">
      <c r="A35" s="14" t="s">
        <v>175</v>
      </c>
      <c r="B35" s="38"/>
      <c r="C35" s="38"/>
      <c r="D35" s="38"/>
      <c r="E35" s="38"/>
      <c r="F35" s="38">
        <v>39215</v>
      </c>
      <c r="G35" s="38">
        <v>42325</v>
      </c>
      <c r="H35" s="46">
        <v>45735</v>
      </c>
      <c r="I35" s="46">
        <v>50169</v>
      </c>
      <c r="J35" s="46">
        <v>54683</v>
      </c>
      <c r="K35" s="244">
        <v>71334</v>
      </c>
      <c r="L35" s="46">
        <v>73230</v>
      </c>
      <c r="M35" s="47">
        <v>72619</v>
      </c>
    </row>
    <row r="36" spans="1:13" ht="16.5" customHeight="1">
      <c r="A36" s="136" t="s">
        <v>176</v>
      </c>
      <c r="B36" s="105">
        <v>73012</v>
      </c>
      <c r="C36" s="105">
        <v>61031</v>
      </c>
      <c r="D36" s="105">
        <v>157858</v>
      </c>
      <c r="E36" s="105">
        <v>164794</v>
      </c>
      <c r="F36" s="105">
        <v>160945</v>
      </c>
      <c r="G36" s="105">
        <v>165096</v>
      </c>
      <c r="H36" s="138">
        <v>125668</v>
      </c>
      <c r="I36" s="138">
        <v>137352</v>
      </c>
      <c r="J36" s="138">
        <v>149516</v>
      </c>
      <c r="K36" s="247">
        <v>168383</v>
      </c>
      <c r="L36" s="138">
        <v>164868</v>
      </c>
      <c r="M36" s="186">
        <v>188481</v>
      </c>
    </row>
    <row r="37" spans="1:13" ht="16.5" customHeight="1">
      <c r="A37" s="14" t="s">
        <v>177</v>
      </c>
      <c r="B37" s="38">
        <v>45824</v>
      </c>
      <c r="C37" s="38">
        <v>51821</v>
      </c>
      <c r="D37" s="38">
        <v>85531</v>
      </c>
      <c r="E37" s="38">
        <v>88693</v>
      </c>
      <c r="F37" s="38">
        <v>79748</v>
      </c>
      <c r="G37" s="38">
        <v>73280</v>
      </c>
      <c r="H37" s="46">
        <v>73357</v>
      </c>
      <c r="I37" s="46">
        <v>69030</v>
      </c>
      <c r="J37" s="46">
        <v>61241</v>
      </c>
      <c r="K37" s="244">
        <v>57114</v>
      </c>
      <c r="L37" s="46">
        <v>49159</v>
      </c>
      <c r="M37" s="47">
        <v>49683</v>
      </c>
    </row>
    <row r="38" spans="1:13" ht="16.5" hidden="1" customHeight="1">
      <c r="A38" s="168" t="s">
        <v>178</v>
      </c>
      <c r="B38" s="64"/>
      <c r="C38" s="64"/>
      <c r="D38" s="64"/>
      <c r="E38" s="64"/>
      <c r="F38" s="64"/>
      <c r="G38" s="64"/>
      <c r="H38" s="64"/>
      <c r="I38" s="64"/>
      <c r="J38" s="64"/>
      <c r="K38" s="229"/>
      <c r="L38" s="64"/>
      <c r="M38" s="177"/>
    </row>
    <row r="39" spans="1:13" ht="16.5" customHeight="1">
      <c r="A39" s="136" t="s">
        <v>179</v>
      </c>
      <c r="B39" s="132"/>
      <c r="C39" s="132"/>
      <c r="D39" s="132"/>
      <c r="E39" s="132"/>
      <c r="F39" s="132"/>
      <c r="G39" s="162"/>
      <c r="H39" s="162"/>
      <c r="I39" s="132">
        <v>121370</v>
      </c>
      <c r="J39" s="132">
        <v>110925</v>
      </c>
      <c r="K39" s="230">
        <v>105941</v>
      </c>
      <c r="L39" s="132">
        <v>93850</v>
      </c>
      <c r="M39" s="179">
        <v>90080</v>
      </c>
    </row>
    <row r="40" spans="1:13" ht="16.5" customHeight="1">
      <c r="A40" s="14" t="s">
        <v>180</v>
      </c>
      <c r="B40" s="38">
        <v>37776</v>
      </c>
      <c r="C40" s="38">
        <v>29546</v>
      </c>
      <c r="D40" s="38">
        <v>31131</v>
      </c>
      <c r="E40" s="38">
        <v>35238</v>
      </c>
      <c r="F40" s="38">
        <v>34862</v>
      </c>
      <c r="G40" s="38">
        <v>41024</v>
      </c>
      <c r="H40" s="46">
        <v>44017</v>
      </c>
      <c r="I40" s="46">
        <v>40062</v>
      </c>
      <c r="J40" s="46">
        <v>44189</v>
      </c>
      <c r="K40" s="244">
        <v>56183</v>
      </c>
      <c r="L40" s="46">
        <v>54651</v>
      </c>
      <c r="M40" s="47">
        <v>43798</v>
      </c>
    </row>
    <row r="41" spans="1:13" ht="16.5" customHeight="1">
      <c r="A41" s="136" t="s">
        <v>181</v>
      </c>
      <c r="B41" s="105">
        <f>30005*0+29984</f>
        <v>29984</v>
      </c>
      <c r="C41" s="105">
        <v>29307</v>
      </c>
      <c r="D41" s="105">
        <v>29872</v>
      </c>
      <c r="E41" s="105">
        <v>22854</v>
      </c>
      <c r="F41" s="105">
        <v>17748</v>
      </c>
      <c r="G41" s="105">
        <v>17665</v>
      </c>
      <c r="H41" s="138">
        <v>5542</v>
      </c>
      <c r="I41" s="138">
        <v>5240</v>
      </c>
      <c r="J41" s="138">
        <v>10218</v>
      </c>
      <c r="K41" s="247">
        <v>15887</v>
      </c>
      <c r="L41" s="138">
        <v>12651</v>
      </c>
      <c r="M41" s="186">
        <v>14054</v>
      </c>
    </row>
    <row r="42" spans="1:13" ht="16.5" customHeight="1" thickBot="1">
      <c r="A42" s="53" t="s">
        <v>182</v>
      </c>
      <c r="B42" s="160">
        <f>B20+B23+B34+SUM(B36:B41)</f>
        <v>1450564</v>
      </c>
      <c r="C42" s="160">
        <f>C20+C23+C34+SUM(C36:C41)</f>
        <v>1664333</v>
      </c>
      <c r="D42" s="160">
        <v>1905209</v>
      </c>
      <c r="E42" s="160">
        <v>1992480</v>
      </c>
      <c r="F42" s="160">
        <v>1943379</v>
      </c>
      <c r="G42" s="160">
        <v>2401433</v>
      </c>
      <c r="H42" s="161">
        <v>2359663</v>
      </c>
      <c r="I42" s="161">
        <v>3041653</v>
      </c>
      <c r="J42" s="161">
        <v>3147027</v>
      </c>
      <c r="K42" s="248">
        <v>3415304</v>
      </c>
      <c r="L42" s="161">
        <v>3541415</v>
      </c>
      <c r="M42" s="190">
        <v>4415175</v>
      </c>
    </row>
    <row r="43" spans="1:13" ht="16.5" customHeight="1">
      <c r="A43" s="73" t="s">
        <v>39</v>
      </c>
      <c r="B43" s="4"/>
      <c r="C43" s="6"/>
      <c r="D43" s="6"/>
      <c r="E43" s="2"/>
      <c r="H43" s="146" t="s">
        <v>0</v>
      </c>
      <c r="I43" s="146"/>
      <c r="J43" s="146" t="s">
        <v>0</v>
      </c>
      <c r="K43" s="146" t="s">
        <v>0</v>
      </c>
      <c r="L43" s="146" t="s">
        <v>0</v>
      </c>
      <c r="M43" s="191" t="s">
        <v>0</v>
      </c>
    </row>
    <row r="44" spans="1:13" ht="29.5" customHeight="1">
      <c r="A44" s="266" t="s">
        <v>183</v>
      </c>
      <c r="B44" s="266"/>
      <c r="C44" s="266"/>
      <c r="D44" s="266"/>
      <c r="E44" s="266"/>
      <c r="F44" s="266"/>
      <c r="G44" s="266"/>
      <c r="H44" s="266"/>
      <c r="I44" s="266"/>
      <c r="J44" s="266"/>
      <c r="K44" s="266"/>
      <c r="L44" s="266"/>
      <c r="M44" s="266"/>
    </row>
    <row r="45" spans="1:13" ht="29.5" customHeight="1">
      <c r="A45" s="266" t="s">
        <v>184</v>
      </c>
      <c r="B45" s="266"/>
      <c r="C45" s="266"/>
      <c r="D45" s="266"/>
      <c r="E45" s="266"/>
      <c r="F45" s="266"/>
      <c r="G45" s="266"/>
      <c r="H45" s="266"/>
      <c r="I45" s="266"/>
      <c r="J45" s="266"/>
      <c r="K45" s="266"/>
      <c r="L45" s="266"/>
      <c r="M45" s="266"/>
    </row>
  </sheetData>
  <mergeCells count="2">
    <mergeCell ref="A45:M45"/>
    <mergeCell ref="A44:M44"/>
  </mergeCells>
  <phoneticPr fontId="4"/>
  <pageMargins left="0.6692913385826772" right="0.23622047244094491" top="0.51181102362204722" bottom="0.98425196850393704" header="0.51181102362204722" footer="0.51181102362204722"/>
  <pageSetup paperSize="9" scale="87" orientation="landscape" horizontalDpi="4294967293" r:id="rId1"/>
  <headerFooter alignWithMargins="0">
    <oddFooter>&amp;L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7"/>
  <sheetViews>
    <sheetView view="pageBreakPreview" zoomScaleNormal="70" zoomScaleSheetLayoutView="100" workbookViewId="0">
      <pane xSplit="1" ySplit="3" topLeftCell="B4" activePane="bottomRight" state="frozen"/>
      <selection pane="topRight" activeCell="B1" sqref="B1"/>
      <selection pane="bottomLeft" activeCell="A4" sqref="A4"/>
      <selection pane="bottomRight" activeCell="A28" sqref="A28"/>
    </sheetView>
  </sheetViews>
  <sheetFormatPr defaultColWidth="13" defaultRowHeight="16.5" customHeight="1"/>
  <cols>
    <col min="1" max="1" width="45.58203125" style="84" bestFit="1" customWidth="1"/>
    <col min="2" max="3" width="8.33203125" style="2" bestFit="1" customWidth="1"/>
    <col min="4" max="5" width="8.33203125" style="1" bestFit="1" customWidth="1"/>
    <col min="6" max="7" width="8.33203125" style="2" bestFit="1" customWidth="1"/>
    <col min="8" max="10" width="10" style="2" bestFit="1" customWidth="1"/>
    <col min="11" max="11" width="10" style="224" bestFit="1" customWidth="1"/>
    <col min="12" max="12" width="10.08203125" style="2" bestFit="1" customWidth="1"/>
    <col min="13" max="13" width="10.08203125" style="1" bestFit="1" customWidth="1"/>
    <col min="14" max="16384" width="13" style="2"/>
  </cols>
  <sheetData>
    <row r="1" spans="1:13" ht="16.5" customHeight="1">
      <c r="A1" s="50" t="s">
        <v>145</v>
      </c>
    </row>
    <row r="2" spans="1:13" ht="27" customHeight="1">
      <c r="A2" s="206" t="s">
        <v>79</v>
      </c>
    </row>
    <row r="3" spans="1:13" ht="16.5" customHeight="1" thickBot="1">
      <c r="A3" s="66" t="s">
        <v>80</v>
      </c>
      <c r="B3" s="67">
        <v>2016</v>
      </c>
      <c r="C3" s="67">
        <v>2017</v>
      </c>
      <c r="D3" s="67">
        <v>2018</v>
      </c>
      <c r="E3" s="67">
        <v>2019</v>
      </c>
      <c r="F3" s="67">
        <v>2020</v>
      </c>
      <c r="G3" s="67">
        <v>2021</v>
      </c>
      <c r="H3" s="67" t="s">
        <v>44</v>
      </c>
      <c r="I3" s="67" t="s">
        <v>45</v>
      </c>
      <c r="J3" s="67" t="s">
        <v>46</v>
      </c>
      <c r="K3" s="243" t="s">
        <v>47</v>
      </c>
      <c r="L3" s="67" t="s">
        <v>48</v>
      </c>
      <c r="M3" s="68" t="s">
        <v>49</v>
      </c>
    </row>
    <row r="4" spans="1:13" ht="16.5" customHeight="1">
      <c r="A4" s="42" t="s">
        <v>185</v>
      </c>
      <c r="B4" s="38"/>
      <c r="C4" s="38"/>
      <c r="D4" s="38"/>
      <c r="E4" s="38"/>
      <c r="F4" s="38"/>
      <c r="G4" s="38"/>
      <c r="H4" s="46"/>
      <c r="I4" s="46"/>
      <c r="J4" s="46"/>
      <c r="K4" s="244"/>
      <c r="L4" s="46"/>
      <c r="M4" s="47"/>
    </row>
    <row r="5" spans="1:13" ht="16.5" customHeight="1">
      <c r="A5" s="42" t="s">
        <v>186</v>
      </c>
      <c r="B5" s="38"/>
      <c r="C5" s="38"/>
      <c r="D5" s="38"/>
      <c r="E5" s="38"/>
      <c r="F5" s="38"/>
      <c r="G5" s="38"/>
      <c r="H5" s="46"/>
      <c r="I5" s="46"/>
      <c r="J5" s="46"/>
      <c r="K5" s="244"/>
      <c r="L5" s="46"/>
      <c r="M5" s="47"/>
    </row>
    <row r="6" spans="1:13" ht="16.5" customHeight="1">
      <c r="A6" s="136" t="s">
        <v>187</v>
      </c>
      <c r="B6" s="35">
        <f t="shared" ref="B6:G6" si="0">B7+B8</f>
        <v>194911</v>
      </c>
      <c r="C6" s="35">
        <f t="shared" si="0"/>
        <v>120197</v>
      </c>
      <c r="D6" s="35">
        <f t="shared" si="0"/>
        <v>189139</v>
      </c>
      <c r="E6" s="35">
        <f t="shared" si="0"/>
        <v>312586</v>
      </c>
      <c r="F6" s="35">
        <f t="shared" si="0"/>
        <v>284629</v>
      </c>
      <c r="G6" s="35">
        <f t="shared" si="0"/>
        <v>328063</v>
      </c>
      <c r="H6" s="39">
        <v>327518</v>
      </c>
      <c r="I6" s="39">
        <v>175924</v>
      </c>
      <c r="J6" s="39">
        <v>248510</v>
      </c>
      <c r="K6" s="245">
        <v>212907</v>
      </c>
      <c r="L6" s="39">
        <v>187145</v>
      </c>
      <c r="M6" s="48">
        <v>210953</v>
      </c>
    </row>
    <row r="7" spans="1:13" s="201" customFormat="1" ht="19.5" hidden="1" customHeight="1">
      <c r="A7" s="197" t="s">
        <v>188</v>
      </c>
      <c r="B7" s="198">
        <v>158683</v>
      </c>
      <c r="C7" s="198">
        <v>77680</v>
      </c>
      <c r="D7" s="198">
        <v>124573</v>
      </c>
      <c r="E7" s="198">
        <v>221310</v>
      </c>
      <c r="F7" s="198">
        <v>216601</v>
      </c>
      <c r="G7" s="198">
        <v>192938</v>
      </c>
      <c r="H7" s="199"/>
      <c r="I7" s="199"/>
      <c r="J7" s="199"/>
      <c r="K7" s="249"/>
      <c r="L7" s="199"/>
      <c r="M7" s="200"/>
    </row>
    <row r="8" spans="1:13" ht="16.5" hidden="1" customHeight="1">
      <c r="A8" s="169" t="s">
        <v>189</v>
      </c>
      <c r="B8" s="170">
        <v>36228</v>
      </c>
      <c r="C8" s="170">
        <v>42517</v>
      </c>
      <c r="D8" s="170">
        <v>64566</v>
      </c>
      <c r="E8" s="170">
        <v>91276</v>
      </c>
      <c r="F8" s="170">
        <v>68028</v>
      </c>
      <c r="G8" s="170">
        <v>135125</v>
      </c>
      <c r="H8" s="171"/>
      <c r="I8" s="171"/>
      <c r="J8" s="171"/>
      <c r="K8" s="171"/>
      <c r="L8" s="171"/>
      <c r="M8" s="192"/>
    </row>
    <row r="9" spans="1:13" ht="16.5" customHeight="1">
      <c r="A9" s="14" t="s">
        <v>190</v>
      </c>
      <c r="B9" s="38"/>
      <c r="C9" s="38"/>
      <c r="D9" s="38"/>
      <c r="E9" s="38"/>
      <c r="F9" s="38">
        <v>7252</v>
      </c>
      <c r="G9" s="38">
        <v>8444</v>
      </c>
      <c r="H9" s="46">
        <v>9120</v>
      </c>
      <c r="I9" s="46">
        <v>9432</v>
      </c>
      <c r="J9" s="46">
        <v>10298</v>
      </c>
      <c r="K9" s="244">
        <v>11627</v>
      </c>
      <c r="L9" s="46">
        <v>12654</v>
      </c>
      <c r="M9" s="47">
        <v>12405</v>
      </c>
    </row>
    <row r="10" spans="1:13" ht="16.5" customHeight="1">
      <c r="A10" s="136" t="s">
        <v>191</v>
      </c>
      <c r="B10" s="105">
        <v>112664</v>
      </c>
      <c r="C10" s="105">
        <f>C11+C12</f>
        <v>176644</v>
      </c>
      <c r="D10" s="105">
        <v>226791</v>
      </c>
      <c r="E10" s="105">
        <v>189892</v>
      </c>
      <c r="F10" s="105">
        <v>201825</v>
      </c>
      <c r="G10" s="105">
        <v>324373</v>
      </c>
      <c r="H10" s="138">
        <v>324373</v>
      </c>
      <c r="I10" s="138">
        <v>460132</v>
      </c>
      <c r="J10" s="138">
        <v>351439</v>
      </c>
      <c r="K10" s="247">
        <v>351940</v>
      </c>
      <c r="L10" s="138">
        <v>392502</v>
      </c>
      <c r="M10" s="186">
        <v>706729</v>
      </c>
    </row>
    <row r="11" spans="1:13" ht="16.5" hidden="1" customHeight="1">
      <c r="A11" s="169" t="s">
        <v>192</v>
      </c>
      <c r="B11" s="170">
        <v>40805</v>
      </c>
      <c r="C11" s="170">
        <v>87157</v>
      </c>
      <c r="D11" s="170">
        <v>122849</v>
      </c>
      <c r="E11" s="170">
        <v>92583</v>
      </c>
      <c r="F11" s="170">
        <v>102200</v>
      </c>
      <c r="G11" s="170">
        <v>171673</v>
      </c>
      <c r="H11" s="172">
        <v>171673</v>
      </c>
      <c r="I11" s="172">
        <v>271161</v>
      </c>
      <c r="J11" s="172"/>
      <c r="K11" s="246"/>
      <c r="L11" s="172"/>
      <c r="M11" s="189"/>
    </row>
    <row r="12" spans="1:13" ht="16.5" hidden="1" customHeight="1">
      <c r="A12" s="169" t="s">
        <v>193</v>
      </c>
      <c r="B12" s="170">
        <v>71859</v>
      </c>
      <c r="C12" s="170">
        <v>89487</v>
      </c>
      <c r="D12" s="170">
        <v>103942</v>
      </c>
      <c r="E12" s="170">
        <v>97309</v>
      </c>
      <c r="F12" s="170">
        <v>99625</v>
      </c>
      <c r="G12" s="170">
        <v>152700</v>
      </c>
      <c r="H12" s="172">
        <v>152700</v>
      </c>
      <c r="I12" s="172">
        <v>188971</v>
      </c>
      <c r="J12" s="172"/>
      <c r="K12" s="246"/>
      <c r="L12" s="172"/>
      <c r="M12" s="189"/>
    </row>
    <row r="13" spans="1:13" ht="16.5" hidden="1" customHeight="1">
      <c r="A13" s="169" t="s">
        <v>194</v>
      </c>
      <c r="B13" s="170">
        <f>50115+73777</f>
        <v>123892</v>
      </c>
      <c r="C13" s="170">
        <f>57551+91058</f>
        <v>148609</v>
      </c>
      <c r="D13" s="170">
        <v>159618</v>
      </c>
      <c r="E13" s="170">
        <v>192800</v>
      </c>
      <c r="F13" s="170">
        <v>201591</v>
      </c>
      <c r="G13" s="170">
        <v>324753</v>
      </c>
      <c r="H13" s="172"/>
      <c r="I13" s="172"/>
      <c r="J13" s="172"/>
      <c r="K13" s="246"/>
      <c r="L13" s="172"/>
      <c r="M13" s="189"/>
    </row>
    <row r="14" spans="1:13" ht="16.5" customHeight="1">
      <c r="A14" s="14" t="s">
        <v>195</v>
      </c>
      <c r="B14" s="152"/>
      <c r="C14" s="152"/>
      <c r="D14" s="152"/>
      <c r="E14" s="152"/>
      <c r="F14" s="152"/>
      <c r="G14" s="152"/>
      <c r="H14" s="46">
        <v>161930</v>
      </c>
      <c r="I14" s="46">
        <v>147272</v>
      </c>
      <c r="J14" s="46">
        <v>92673</v>
      </c>
      <c r="K14" s="244">
        <v>81774</v>
      </c>
      <c r="L14" s="46">
        <v>114502</v>
      </c>
      <c r="M14" s="47">
        <v>165890</v>
      </c>
    </row>
    <row r="15" spans="1:13" ht="16.5" customHeight="1">
      <c r="A15" s="136" t="s">
        <v>196</v>
      </c>
      <c r="B15" s="105">
        <v>5267</v>
      </c>
      <c r="C15" s="105">
        <v>16650</v>
      </c>
      <c r="D15" s="105">
        <v>10989</v>
      </c>
      <c r="E15" s="105">
        <v>3781</v>
      </c>
      <c r="F15" s="105">
        <v>7341</v>
      </c>
      <c r="G15" s="105">
        <v>9232</v>
      </c>
      <c r="H15" s="138">
        <v>20389</v>
      </c>
      <c r="I15" s="138">
        <v>29715</v>
      </c>
      <c r="J15" s="138">
        <v>30285</v>
      </c>
      <c r="K15" s="247">
        <v>38746</v>
      </c>
      <c r="L15" s="138">
        <v>41093</v>
      </c>
      <c r="M15" s="186">
        <v>52333</v>
      </c>
    </row>
    <row r="16" spans="1:13" ht="16.5" hidden="1" customHeight="1">
      <c r="A16" s="17" t="s">
        <v>197</v>
      </c>
      <c r="B16" s="39" t="s">
        <v>16</v>
      </c>
      <c r="C16" s="39" t="s">
        <v>16</v>
      </c>
      <c r="D16" s="39" t="s">
        <v>16</v>
      </c>
      <c r="E16" s="39" t="s">
        <v>16</v>
      </c>
      <c r="F16" s="39"/>
      <c r="G16" s="39"/>
      <c r="H16" s="39"/>
      <c r="I16" s="39"/>
      <c r="J16" s="39"/>
      <c r="K16" s="245"/>
      <c r="L16" s="39"/>
      <c r="M16" s="48"/>
    </row>
    <row r="17" spans="1:13" ht="16.5" customHeight="1">
      <c r="A17" s="14" t="s">
        <v>198</v>
      </c>
      <c r="B17" s="152"/>
      <c r="C17" s="152"/>
      <c r="D17" s="152"/>
      <c r="E17" s="152"/>
      <c r="F17" s="152"/>
      <c r="G17" s="152"/>
      <c r="H17" s="46">
        <v>13969</v>
      </c>
      <c r="I17" s="46">
        <v>13949</v>
      </c>
      <c r="J17" s="46">
        <v>13079</v>
      </c>
      <c r="K17" s="244">
        <v>12605</v>
      </c>
      <c r="L17" s="46">
        <v>12329</v>
      </c>
      <c r="M17" s="47">
        <v>15094</v>
      </c>
    </row>
    <row r="18" spans="1:13" ht="16.5" customHeight="1">
      <c r="A18" s="136" t="s">
        <v>199</v>
      </c>
      <c r="B18" s="105">
        <f>14500+B13</f>
        <v>138392</v>
      </c>
      <c r="C18" s="105">
        <f>15494+C13</f>
        <v>164103</v>
      </c>
      <c r="D18" s="105">
        <f>16500+D13</f>
        <v>176118</v>
      </c>
      <c r="E18" s="105">
        <f>15261+E13</f>
        <v>208061</v>
      </c>
      <c r="F18" s="105">
        <f>16267+F13</f>
        <v>217858</v>
      </c>
      <c r="G18" s="105">
        <f>16611+G13</f>
        <v>341364</v>
      </c>
      <c r="H18" s="138">
        <v>171024</v>
      </c>
      <c r="I18" s="138">
        <v>225934</v>
      </c>
      <c r="J18" s="138">
        <v>258027</v>
      </c>
      <c r="K18" s="247">
        <v>307291</v>
      </c>
      <c r="L18" s="138">
        <v>338235</v>
      </c>
      <c r="M18" s="186">
        <v>411140</v>
      </c>
    </row>
    <row r="19" spans="1:13" ht="16.5" customHeight="1">
      <c r="A19" s="14" t="s">
        <v>200</v>
      </c>
      <c r="B19" s="38">
        <v>451234</v>
      </c>
      <c r="C19" s="38">
        <v>477594</v>
      </c>
      <c r="D19" s="38">
        <v>603037</v>
      </c>
      <c r="E19" s="38">
        <v>714320</v>
      </c>
      <c r="F19" s="38">
        <v>718905</v>
      </c>
      <c r="G19" s="38">
        <v>1011476</v>
      </c>
      <c r="H19" s="46">
        <v>1028323</v>
      </c>
      <c r="I19" s="46">
        <v>1062358</v>
      </c>
      <c r="J19" s="46">
        <v>1004311</v>
      </c>
      <c r="K19" s="244">
        <v>1016890</v>
      </c>
      <c r="L19" s="46">
        <v>1098460</v>
      </c>
      <c r="M19" s="47">
        <v>1574545</v>
      </c>
    </row>
    <row r="20" spans="1:13" ht="16.5" customHeight="1">
      <c r="A20" s="14"/>
      <c r="B20" s="38"/>
      <c r="C20" s="38"/>
      <c r="D20" s="38"/>
      <c r="E20" s="38"/>
      <c r="F20" s="38"/>
      <c r="G20" s="38"/>
      <c r="H20" s="46"/>
      <c r="I20" s="46"/>
      <c r="J20" s="46"/>
      <c r="K20" s="244"/>
      <c r="L20" s="46"/>
      <c r="M20" s="47"/>
    </row>
    <row r="21" spans="1:13" ht="16.5" customHeight="1">
      <c r="A21" s="42" t="s">
        <v>201</v>
      </c>
      <c r="B21" s="38"/>
      <c r="C21" s="38"/>
      <c r="D21" s="38"/>
      <c r="E21" s="38"/>
      <c r="F21" s="38"/>
      <c r="G21" s="38"/>
      <c r="H21" s="46"/>
      <c r="I21" s="46"/>
      <c r="J21" s="46"/>
      <c r="K21" s="244"/>
      <c r="L21" s="46"/>
      <c r="M21" s="47"/>
    </row>
    <row r="22" spans="1:13" ht="19.5" customHeight="1">
      <c r="A22" s="135" t="s">
        <v>202</v>
      </c>
      <c r="B22" s="105">
        <f>140847-21</f>
        <v>140826</v>
      </c>
      <c r="C22" s="105">
        <v>213935</v>
      </c>
      <c r="D22" s="105">
        <v>293880</v>
      </c>
      <c r="E22" s="105">
        <v>207682</v>
      </c>
      <c r="F22" s="105">
        <v>140061</v>
      </c>
      <c r="G22" s="105">
        <v>155273</v>
      </c>
      <c r="H22" s="138">
        <v>150148</v>
      </c>
      <c r="I22" s="138">
        <v>455562</v>
      </c>
      <c r="J22" s="138">
        <v>448656</v>
      </c>
      <c r="K22" s="247">
        <v>400259</v>
      </c>
      <c r="L22" s="138">
        <v>346001</v>
      </c>
      <c r="M22" s="186">
        <v>332678</v>
      </c>
    </row>
    <row r="23" spans="1:13" ht="19.5" customHeight="1">
      <c r="A23" s="80" t="s">
        <v>190</v>
      </c>
      <c r="B23" s="38"/>
      <c r="C23" s="38"/>
      <c r="D23" s="38"/>
      <c r="E23" s="38"/>
      <c r="F23" s="38">
        <v>28824</v>
      </c>
      <c r="G23" s="38">
        <v>29833</v>
      </c>
      <c r="H23" s="46">
        <v>35036</v>
      </c>
      <c r="I23" s="46">
        <v>38895</v>
      </c>
      <c r="J23" s="46">
        <v>44694</v>
      </c>
      <c r="K23" s="244">
        <v>60943</v>
      </c>
      <c r="L23" s="46">
        <v>62600</v>
      </c>
      <c r="M23" s="47">
        <v>59934</v>
      </c>
    </row>
    <row r="24" spans="1:13" ht="19.5" customHeight="1">
      <c r="A24" s="135" t="s">
        <v>203</v>
      </c>
      <c r="B24" s="105"/>
      <c r="C24" s="105"/>
      <c r="D24" s="105"/>
      <c r="E24" s="105"/>
      <c r="F24" s="105"/>
      <c r="G24" s="105"/>
      <c r="H24" s="138">
        <v>2966</v>
      </c>
      <c r="I24" s="138">
        <v>4573</v>
      </c>
      <c r="J24" s="138">
        <v>3849</v>
      </c>
      <c r="K24" s="247">
        <v>5837</v>
      </c>
      <c r="L24" s="138">
        <v>4719</v>
      </c>
      <c r="M24" s="186">
        <v>1031</v>
      </c>
    </row>
    <row r="25" spans="1:13" ht="16.5" customHeight="1">
      <c r="A25" s="14" t="s">
        <v>204</v>
      </c>
      <c r="B25" s="38">
        <v>147136</v>
      </c>
      <c r="C25" s="38">
        <v>125202</v>
      </c>
      <c r="D25" s="38">
        <v>125137</v>
      </c>
      <c r="E25" s="38">
        <v>129050</v>
      </c>
      <c r="F25" s="38">
        <v>142958</v>
      </c>
      <c r="G25" s="38">
        <v>116745</v>
      </c>
      <c r="H25" s="46">
        <v>116813</v>
      </c>
      <c r="I25" s="46">
        <v>105089</v>
      </c>
      <c r="J25" s="46">
        <v>92313</v>
      </c>
      <c r="K25" s="244">
        <v>98388</v>
      </c>
      <c r="L25" s="46">
        <v>95368</v>
      </c>
      <c r="M25" s="47">
        <v>97957</v>
      </c>
    </row>
    <row r="26" spans="1:13" ht="16.5" customHeight="1">
      <c r="A26" s="136" t="s">
        <v>205</v>
      </c>
      <c r="B26" s="35"/>
      <c r="C26" s="35"/>
      <c r="D26" s="35"/>
      <c r="E26" s="35"/>
      <c r="F26" s="35"/>
      <c r="G26" s="35"/>
      <c r="H26" s="39">
        <v>5200</v>
      </c>
      <c r="I26" s="39">
        <v>5371</v>
      </c>
      <c r="J26" s="39">
        <v>9697</v>
      </c>
      <c r="K26" s="245">
        <v>13660</v>
      </c>
      <c r="L26" s="39">
        <v>13124</v>
      </c>
      <c r="M26" s="48">
        <v>10639</v>
      </c>
    </row>
    <row r="27" spans="1:13" ht="16.5" customHeight="1">
      <c r="A27" s="14" t="s">
        <v>206</v>
      </c>
      <c r="B27" s="38">
        <v>9562</v>
      </c>
      <c r="C27" s="38">
        <v>29786</v>
      </c>
      <c r="D27" s="38">
        <v>35432</v>
      </c>
      <c r="E27" s="38">
        <v>38588</v>
      </c>
      <c r="F27" s="38">
        <v>38329</v>
      </c>
      <c r="G27" s="38">
        <v>52172</v>
      </c>
      <c r="H27" s="46">
        <v>50939</v>
      </c>
      <c r="I27" s="46">
        <v>57454</v>
      </c>
      <c r="J27" s="46">
        <v>70386</v>
      </c>
      <c r="K27" s="244">
        <v>91616</v>
      </c>
      <c r="L27" s="46">
        <v>94678</v>
      </c>
      <c r="M27" s="47">
        <v>111528</v>
      </c>
    </row>
    <row r="28" spans="1:13" ht="16.5" customHeight="1">
      <c r="A28" s="136" t="s">
        <v>207</v>
      </c>
      <c r="B28" s="105"/>
      <c r="C28" s="105"/>
      <c r="D28" s="105"/>
      <c r="E28" s="105"/>
      <c r="F28" s="105"/>
      <c r="G28" s="105"/>
      <c r="H28" s="138"/>
      <c r="I28" s="138"/>
      <c r="J28" s="138"/>
      <c r="K28" s="247"/>
      <c r="L28" s="138">
        <v>1007</v>
      </c>
      <c r="M28" s="186">
        <v>6149</v>
      </c>
    </row>
    <row r="29" spans="1:13" ht="16.5" customHeight="1">
      <c r="A29" s="14" t="s">
        <v>208</v>
      </c>
      <c r="B29" s="38">
        <f>17173</f>
        <v>17173</v>
      </c>
      <c r="C29" s="38">
        <v>15698</v>
      </c>
      <c r="D29" s="38">
        <v>16491</v>
      </c>
      <c r="E29" s="38">
        <v>19084</v>
      </c>
      <c r="F29" s="38">
        <v>25738</v>
      </c>
      <c r="G29" s="38">
        <v>29637</v>
      </c>
      <c r="H29" s="46">
        <v>8551</v>
      </c>
      <c r="I29" s="46">
        <v>8596</v>
      </c>
      <c r="J29" s="46">
        <v>10254</v>
      </c>
      <c r="K29" s="244">
        <v>12770</v>
      </c>
      <c r="L29" s="46">
        <v>14204</v>
      </c>
      <c r="M29" s="47">
        <v>17168</v>
      </c>
    </row>
    <row r="30" spans="1:13" ht="16.5" customHeight="1">
      <c r="A30" s="136" t="s">
        <v>209</v>
      </c>
      <c r="B30" s="105">
        <v>765931</v>
      </c>
      <c r="C30" s="105">
        <v>862215</v>
      </c>
      <c r="D30" s="105">
        <v>1073977</v>
      </c>
      <c r="E30" s="105">
        <v>1108724</v>
      </c>
      <c r="F30" s="105">
        <v>1094815</v>
      </c>
      <c r="G30" s="105">
        <v>1395136</v>
      </c>
      <c r="H30" s="138">
        <v>1397976</v>
      </c>
      <c r="I30" s="138">
        <v>1737898</v>
      </c>
      <c r="J30" s="138">
        <v>1684160</v>
      </c>
      <c r="K30" s="247">
        <v>1700363</v>
      </c>
      <c r="L30" s="138">
        <v>1730161</v>
      </c>
      <c r="M30" s="186">
        <v>2211630</v>
      </c>
    </row>
    <row r="31" spans="1:13" ht="16.5" customHeight="1">
      <c r="A31" s="14"/>
      <c r="B31" s="38"/>
      <c r="C31" s="38"/>
      <c r="D31" s="38"/>
      <c r="E31" s="38"/>
      <c r="F31" s="38"/>
      <c r="G31" s="38"/>
      <c r="H31" s="46" t="s">
        <v>133</v>
      </c>
      <c r="I31" s="46" t="s">
        <v>133</v>
      </c>
      <c r="J31" s="46"/>
      <c r="K31" s="244"/>
      <c r="L31" s="46"/>
      <c r="M31" s="47"/>
    </row>
    <row r="32" spans="1:13" ht="16.5" customHeight="1">
      <c r="A32" s="42" t="s">
        <v>210</v>
      </c>
      <c r="B32" s="38"/>
      <c r="C32" s="38"/>
      <c r="D32" s="38"/>
      <c r="E32" s="38"/>
      <c r="F32" s="38"/>
      <c r="G32" s="38"/>
      <c r="H32" s="46" t="s">
        <v>133</v>
      </c>
      <c r="I32" s="46" t="s">
        <v>133</v>
      </c>
      <c r="J32" s="46"/>
      <c r="K32" s="244"/>
      <c r="L32" s="46"/>
      <c r="M32" s="47"/>
    </row>
    <row r="33" spans="1:13" ht="16.5" customHeight="1">
      <c r="A33" s="14" t="s">
        <v>211</v>
      </c>
      <c r="B33" s="38"/>
      <c r="C33" s="38"/>
      <c r="D33" s="38"/>
      <c r="E33" s="38"/>
      <c r="F33" s="38"/>
      <c r="G33" s="38"/>
      <c r="H33" s="46"/>
      <c r="I33" s="46"/>
      <c r="J33" s="46"/>
      <c r="K33" s="244"/>
      <c r="L33" s="46"/>
      <c r="M33" s="47"/>
    </row>
    <row r="34" spans="1:13" ht="16.5" customHeight="1">
      <c r="A34" s="17" t="s">
        <v>212</v>
      </c>
      <c r="B34" s="35">
        <v>32641</v>
      </c>
      <c r="C34" s="35">
        <v>32641</v>
      </c>
      <c r="D34" s="35">
        <v>32641</v>
      </c>
      <c r="E34" s="35">
        <v>32641</v>
      </c>
      <c r="F34" s="35">
        <v>32641</v>
      </c>
      <c r="G34" s="35">
        <v>32641</v>
      </c>
      <c r="H34" s="39">
        <v>32641</v>
      </c>
      <c r="I34" s="39">
        <v>32641</v>
      </c>
      <c r="J34" s="39">
        <v>32641</v>
      </c>
      <c r="K34" s="245">
        <v>32641</v>
      </c>
      <c r="L34" s="39">
        <v>32641</v>
      </c>
      <c r="M34" s="48">
        <v>32641</v>
      </c>
    </row>
    <row r="35" spans="1:13" ht="16.5" customHeight="1">
      <c r="A35" s="14" t="s">
        <v>213</v>
      </c>
      <c r="B35" s="38">
        <v>21083</v>
      </c>
      <c r="C35" s="38">
        <v>15349</v>
      </c>
      <c r="D35" s="38">
        <v>8738</v>
      </c>
      <c r="E35" s="38">
        <v>5958</v>
      </c>
      <c r="F35" s="38">
        <v>1783</v>
      </c>
      <c r="G35" s="46"/>
      <c r="H35" s="46"/>
      <c r="I35" s="46"/>
      <c r="J35" s="46">
        <v>45</v>
      </c>
      <c r="K35" s="244">
        <v>34</v>
      </c>
      <c r="L35" s="46">
        <v>264</v>
      </c>
      <c r="M35" s="47">
        <v>273</v>
      </c>
    </row>
    <row r="36" spans="1:13" ht="16.5" hidden="1" customHeight="1">
      <c r="A36" s="169" t="s">
        <v>214</v>
      </c>
      <c r="B36" s="170">
        <v>34221</v>
      </c>
      <c r="C36" s="170">
        <v>37727</v>
      </c>
      <c r="D36" s="170">
        <v>45366</v>
      </c>
      <c r="E36" s="170">
        <v>44436</v>
      </c>
      <c r="F36" s="170">
        <v>45254</v>
      </c>
      <c r="G36" s="170">
        <v>46403</v>
      </c>
      <c r="H36" s="172"/>
      <c r="I36" s="172"/>
      <c r="J36" s="172"/>
      <c r="K36" s="246"/>
      <c r="L36" s="172"/>
      <c r="M36" s="189"/>
    </row>
    <row r="37" spans="1:13" ht="16.5" customHeight="1">
      <c r="A37" s="136" t="s">
        <v>215</v>
      </c>
      <c r="B37" s="105">
        <f>707508+B36</f>
        <v>741729</v>
      </c>
      <c r="C37" s="105">
        <f>833884+C36</f>
        <v>871611</v>
      </c>
      <c r="D37" s="105">
        <f>874563+D36</f>
        <v>919929</v>
      </c>
      <c r="E37" s="105">
        <f>935649+E36</f>
        <v>980085</v>
      </c>
      <c r="F37" s="105">
        <f>971140+F36</f>
        <v>1016394</v>
      </c>
      <c r="G37" s="105">
        <f>1024019+G36</f>
        <v>1070422</v>
      </c>
      <c r="H37" s="138">
        <v>853620</v>
      </c>
      <c r="I37" s="138">
        <v>974767</v>
      </c>
      <c r="J37" s="138">
        <v>1054738</v>
      </c>
      <c r="K37" s="247">
        <v>1138732</v>
      </c>
      <c r="L37" s="138">
        <v>1273453</v>
      </c>
      <c r="M37" s="186">
        <v>1409670</v>
      </c>
    </row>
    <row r="38" spans="1:13" ht="16.5" customHeight="1">
      <c r="A38" s="14" t="s">
        <v>216</v>
      </c>
      <c r="B38" s="38">
        <v>-102285</v>
      </c>
      <c r="C38" s="38">
        <v>-108575</v>
      </c>
      <c r="D38" s="38">
        <v>-119492</v>
      </c>
      <c r="E38" s="38">
        <v>-124435</v>
      </c>
      <c r="F38" s="38">
        <v>-190055</v>
      </c>
      <c r="G38" s="38">
        <v>-82733</v>
      </c>
      <c r="H38" s="46">
        <v>89460</v>
      </c>
      <c r="I38" s="46">
        <v>309607</v>
      </c>
      <c r="J38" s="46">
        <v>387281</v>
      </c>
      <c r="K38" s="244">
        <v>551998</v>
      </c>
      <c r="L38" s="46">
        <v>509555</v>
      </c>
      <c r="M38" s="47">
        <v>760315</v>
      </c>
    </row>
    <row r="39" spans="1:13" ht="16.5" customHeight="1">
      <c r="A39" s="136" t="s">
        <v>217</v>
      </c>
      <c r="B39" s="105">
        <v>-17807</v>
      </c>
      <c r="C39" s="105">
        <v>-17412</v>
      </c>
      <c r="D39" s="105">
        <v>-17182</v>
      </c>
      <c r="E39" s="105">
        <v>-16959</v>
      </c>
      <c r="F39" s="105">
        <v>-16806</v>
      </c>
      <c r="G39" s="105">
        <v>-16792</v>
      </c>
      <c r="H39" s="138">
        <v>-16792</v>
      </c>
      <c r="I39" s="138">
        <v>-16698</v>
      </c>
      <c r="J39" s="138">
        <v>-16259</v>
      </c>
      <c r="K39" s="247">
        <v>-16073</v>
      </c>
      <c r="L39" s="138">
        <v>-15843</v>
      </c>
      <c r="M39" s="186">
        <v>-15665</v>
      </c>
    </row>
    <row r="40" spans="1:13" ht="16.5" customHeight="1">
      <c r="A40" s="14" t="s">
        <v>218</v>
      </c>
      <c r="B40" s="38">
        <f t="shared" ref="B40:G40" si="1">SUM(B34:B39)-B36</f>
        <v>675361</v>
      </c>
      <c r="C40" s="38">
        <f t="shared" si="1"/>
        <v>793614</v>
      </c>
      <c r="D40" s="38">
        <f t="shared" si="1"/>
        <v>824634</v>
      </c>
      <c r="E40" s="38">
        <f t="shared" si="1"/>
        <v>877290</v>
      </c>
      <c r="F40" s="38">
        <f t="shared" si="1"/>
        <v>843957</v>
      </c>
      <c r="G40" s="38">
        <f t="shared" si="1"/>
        <v>1003538</v>
      </c>
      <c r="H40" s="46">
        <v>958929</v>
      </c>
      <c r="I40" s="46">
        <v>1300317</v>
      </c>
      <c r="J40" s="46">
        <v>1458446</v>
      </c>
      <c r="K40" s="244">
        <v>1707332</v>
      </c>
      <c r="L40" s="46">
        <v>1800070</v>
      </c>
      <c r="M40" s="47">
        <v>2187234</v>
      </c>
    </row>
    <row r="41" spans="1:13" ht="16.5" customHeight="1">
      <c r="A41" s="136" t="s">
        <v>219</v>
      </c>
      <c r="B41" s="105">
        <v>9272</v>
      </c>
      <c r="C41" s="105">
        <v>8504</v>
      </c>
      <c r="D41" s="105">
        <v>6598</v>
      </c>
      <c r="E41" s="105">
        <v>6466</v>
      </c>
      <c r="F41" s="105">
        <v>4607</v>
      </c>
      <c r="G41" s="105">
        <v>2759</v>
      </c>
      <c r="H41" s="138">
        <v>2758</v>
      </c>
      <c r="I41" s="138">
        <v>3438</v>
      </c>
      <c r="J41" s="138">
        <v>4421</v>
      </c>
      <c r="K41" s="247">
        <v>7609</v>
      </c>
      <c r="L41" s="138">
        <v>11184</v>
      </c>
      <c r="M41" s="186">
        <v>16311</v>
      </c>
    </row>
    <row r="42" spans="1:13" ht="16.5" customHeight="1">
      <c r="A42" s="14" t="s">
        <v>220</v>
      </c>
      <c r="B42" s="57">
        <f>B40+B41</f>
        <v>684633</v>
      </c>
      <c r="C42" s="57">
        <f>C40+C41</f>
        <v>802118</v>
      </c>
      <c r="D42" s="57">
        <v>831232</v>
      </c>
      <c r="E42" s="57">
        <v>883756</v>
      </c>
      <c r="F42" s="57">
        <v>848564</v>
      </c>
      <c r="G42" s="57">
        <v>1006297</v>
      </c>
      <c r="H42" s="174">
        <v>961687</v>
      </c>
      <c r="I42" s="174">
        <v>1303755</v>
      </c>
      <c r="J42" s="174">
        <v>1462867</v>
      </c>
      <c r="K42" s="250">
        <v>1714941</v>
      </c>
      <c r="L42" s="174">
        <v>1811254</v>
      </c>
      <c r="M42" s="193">
        <v>2203545</v>
      </c>
    </row>
    <row r="43" spans="1:13" ht="16.5" customHeight="1" thickBot="1">
      <c r="A43" s="142" t="s">
        <v>221</v>
      </c>
      <c r="B43" s="145">
        <v>1450564</v>
      </c>
      <c r="C43" s="145">
        <v>1664333</v>
      </c>
      <c r="D43" s="145">
        <v>1905209</v>
      </c>
      <c r="E43" s="145">
        <v>1992480</v>
      </c>
      <c r="F43" s="145">
        <v>1943379</v>
      </c>
      <c r="G43" s="145">
        <v>2401433</v>
      </c>
      <c r="H43" s="143">
        <v>2359663</v>
      </c>
      <c r="I43" s="143">
        <v>3041653</v>
      </c>
      <c r="J43" s="143">
        <v>3147027</v>
      </c>
      <c r="K43" s="251">
        <v>3415304</v>
      </c>
      <c r="L43" s="143">
        <v>3541415</v>
      </c>
      <c r="M43" s="188">
        <v>4415175</v>
      </c>
    </row>
    <row r="44" spans="1:13" ht="16.5" customHeight="1">
      <c r="A44" s="73" t="s">
        <v>39</v>
      </c>
      <c r="B44" s="4"/>
      <c r="C44" s="4"/>
      <c r="D44" s="6"/>
      <c r="E44" s="6"/>
      <c r="H44" s="146" t="s">
        <v>0</v>
      </c>
      <c r="I44" s="146"/>
      <c r="J44" s="146" t="s">
        <v>0</v>
      </c>
      <c r="K44" s="146" t="s">
        <v>0</v>
      </c>
      <c r="L44" s="146" t="s">
        <v>0</v>
      </c>
      <c r="M44" s="191" t="s">
        <v>0</v>
      </c>
    </row>
    <row r="45" spans="1:13" ht="30" customHeight="1">
      <c r="A45" s="266" t="s">
        <v>222</v>
      </c>
      <c r="B45" s="266"/>
      <c r="C45" s="266"/>
      <c r="D45" s="266"/>
      <c r="E45" s="266"/>
      <c r="F45" s="266"/>
      <c r="G45" s="266"/>
      <c r="H45" s="266"/>
      <c r="I45" s="266"/>
      <c r="J45" s="266"/>
      <c r="K45" s="266"/>
      <c r="L45" s="266"/>
      <c r="M45" s="266"/>
    </row>
    <row r="46" spans="1:13" ht="30" customHeight="1">
      <c r="A46" s="266" t="s">
        <v>223</v>
      </c>
      <c r="B46" s="266"/>
      <c r="C46" s="266"/>
      <c r="D46" s="266"/>
      <c r="E46" s="266"/>
      <c r="F46" s="266"/>
      <c r="G46" s="266"/>
      <c r="H46" s="266"/>
      <c r="I46" s="266"/>
      <c r="J46" s="266"/>
      <c r="K46" s="266"/>
      <c r="L46" s="266"/>
      <c r="M46" s="266"/>
    </row>
    <row r="47" spans="1:13" ht="50.5" customHeight="1">
      <c r="A47" s="266" t="s">
        <v>224</v>
      </c>
      <c r="B47" s="266"/>
      <c r="C47" s="266"/>
      <c r="D47" s="266"/>
      <c r="E47" s="266"/>
      <c r="F47" s="266"/>
      <c r="G47" s="266"/>
      <c r="H47" s="266"/>
      <c r="I47" s="266"/>
      <c r="J47" s="266"/>
      <c r="K47" s="266"/>
      <c r="L47" s="266"/>
      <c r="M47" s="266"/>
    </row>
  </sheetData>
  <mergeCells count="3">
    <mergeCell ref="A47:M47"/>
    <mergeCell ref="A46:M46"/>
    <mergeCell ref="A45:M45"/>
  </mergeCells>
  <phoneticPr fontId="4"/>
  <pageMargins left="0.62992125984251968" right="0.47244094488188981" top="0.51181102362204722" bottom="0.98425196850393704" header="0.51181102362204722" footer="0.51181102362204722"/>
  <pageSetup paperSize="9" scale="70" orientation="landscape" r:id="rId1"/>
  <headerFooter alignWithMargins="0">
    <oddFooter>&amp;L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4A48F440DCE4BA7D21DB0CDFDBCFE" ma:contentTypeVersion="16" ma:contentTypeDescription="新しいドキュメントを作成します。" ma:contentTypeScope="" ma:versionID="ea63df5e5a4cb934b4eeb0876686a282">
  <xsd:schema xmlns:xsd="http://www.w3.org/2001/XMLSchema" xmlns:xs="http://www.w3.org/2001/XMLSchema" xmlns:p="http://schemas.microsoft.com/office/2006/metadata/properties" xmlns:ns2="aecc265c-1b2c-4180-8c48-34391bd1f094" xmlns:ns3="7986fb11-889f-462c-aa73-f1e39f8a83de" targetNamespace="http://schemas.microsoft.com/office/2006/metadata/properties" ma:root="true" ma:fieldsID="3505b9d1e130690bc80de80dd9cfdfa1" ns2:_="" ns3:_="">
    <xsd:import namespace="aecc265c-1b2c-4180-8c48-34391bd1f094"/>
    <xsd:import namespace="7986fb11-889f-462c-aa73-f1e39f8a83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cc265c-1b2c-4180-8c48-34391bd1f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3bdc066-e0e3-4c7c-b8ac-83d7960dc85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6fb11-889f-462c-aa73-f1e39f8a83d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0bc27b-a814-440c-a8f9-4ebada657dfb}" ma:internalName="TaxCatchAll" ma:showField="CatchAllData" ma:web="7986fb11-889f-462c-aa73-f1e39f8a83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cc265c-1b2c-4180-8c48-34391bd1f094">
      <Terms xmlns="http://schemas.microsoft.com/office/infopath/2007/PartnerControls"/>
    </lcf76f155ced4ddcb4097134ff3c332f>
    <TaxCatchAll xmlns="7986fb11-889f-462c-aa73-f1e39f8a83de" xsi:nil="true"/>
  </documentManagement>
</p:properties>
</file>

<file path=customXml/itemProps1.xml><?xml version="1.0" encoding="utf-8"?>
<ds:datastoreItem xmlns:ds="http://schemas.openxmlformats.org/officeDocument/2006/customXml" ds:itemID="{5FB8D1CE-1528-4845-8516-AAE6DDD20594}">
  <ds:schemaRefs>
    <ds:schemaRef ds:uri="http://schemas.microsoft.com/sharepoint/v3/contenttype/forms"/>
  </ds:schemaRefs>
</ds:datastoreItem>
</file>

<file path=customXml/itemProps2.xml><?xml version="1.0" encoding="utf-8"?>
<ds:datastoreItem xmlns:ds="http://schemas.openxmlformats.org/officeDocument/2006/customXml" ds:itemID="{2C2A0AF5-2252-4278-96A8-E9363ACB80D4}"/>
</file>

<file path=customXml/itemProps3.xml><?xml version="1.0" encoding="utf-8"?>
<ds:datastoreItem xmlns:ds="http://schemas.openxmlformats.org/officeDocument/2006/customXml" ds:itemID="{B6A5B771-508F-447C-A91C-B036BAB50D66}">
  <ds:schemaRefs>
    <ds:schemaRef ds:uri="http://schemas.microsoft.com/office/2006/metadata/properties"/>
    <ds:schemaRef ds:uri="http://schemas.microsoft.com/office/infopath/2007/PartnerControls"/>
    <ds:schemaRef ds:uri="957b3f71-b962-4c97-9988-a2ab4cf7d96e"/>
  </ds:schemaRefs>
</ds:datastoreItem>
</file>

<file path=docMetadata/LabelInfo.xml><?xml version="1.0" encoding="utf-8"?>
<clbl:labelList xmlns:clbl="http://schemas.microsoft.com/office/2020/mipLabelMetadata">
  <clbl:label id="{b584a2f1-508a-45fd-998d-90a5b8cc1edb}" enabled="1" method="Privileged" siteId="{7e452255-946f-4f17-800a-a0fb6835dc6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目次</vt:lpstr>
      <vt:lpstr>1 (項目追加前ver)</vt:lpstr>
      <vt:lpstr>1</vt:lpstr>
      <vt:lpstr>2</vt:lpstr>
      <vt:lpstr>3</vt:lpstr>
      <vt:lpstr>4  (項目追加前ver)</vt:lpstr>
      <vt:lpstr>4</vt:lpstr>
      <vt:lpstr>5</vt:lpstr>
      <vt:lpstr>6</vt:lpstr>
      <vt:lpstr>7</vt:lpstr>
      <vt:lpstr>8</vt:lpstr>
      <vt:lpstr>9</vt:lpstr>
      <vt:lpstr>'1'!Print_Area</vt:lpstr>
      <vt:lpstr>'2'!Print_Area</vt:lpstr>
      <vt:lpstr>'3'!Print_Area</vt:lpstr>
      <vt:lpstr>'4'!Print_Area</vt:lpstr>
      <vt:lpstr>'5'!Print_Area</vt:lpstr>
      <vt:lpstr>'6'!Print_Area</vt:lpstr>
      <vt:lpstr>'7'!Print_Area</vt:lpstr>
      <vt:lpstr>'8'!Print_Area</vt:lpstr>
      <vt:lpstr>'9'!Print_Area</vt:lpstr>
      <vt:lpstr>目次!Print_Area</vt:lpstr>
    </vt:vector>
  </TitlesOfParts>
  <Manager/>
  <Company>TDK株式会社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広報部</dc:creator>
  <cp:keywords/>
  <dc:description/>
  <cp:lastModifiedBy>Yukari Shimozono</cp:lastModifiedBy>
  <cp:revision/>
  <dcterms:created xsi:type="dcterms:W3CDTF">2005-11-24T06:38:46Z</dcterms:created>
  <dcterms:modified xsi:type="dcterms:W3CDTF">2026-06-16T04:55:49Z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0x010100EEE4A48F440DCE4BA7D21DB0CDFDBCFE</vt:lpwstr>
  </property>
</Properties>
</file>